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workbookProtection workbookPassword="CC0D" lockStructure="1"/>
  <bookViews>
    <workbookView xWindow="11880" yWindow="528" windowWidth="11220" windowHeight="10056"/>
  </bookViews>
  <sheets>
    <sheet name="Berechnung_Retention" sheetId="1" r:id="rId1"/>
    <sheet name="Werte Berechnung Retention" sheetId="2" state="hidden" r:id="rId2"/>
    <sheet name="Grundlagen" sheetId="3" r:id="rId3"/>
    <sheet name="Technische Beispiele" sheetId="4" r:id="rId4"/>
  </sheets>
  <definedNames>
    <definedName name="_xlnm._FilterDatabase" localSheetId="1" hidden="1">'Werte Berechnung Retention'!$A$39:$O$55</definedName>
    <definedName name="_xlnm.Print_Area" localSheetId="1">'Werte Berechnung Retention'!$A$1:$AG$89</definedName>
    <definedName name="Z_C2AE7621_16FE_461B_A718_7353AC843B13_.wvu.FilterData" localSheetId="1" hidden="1">'Werte Berechnung Retention'!$A$39:$O$55</definedName>
    <definedName name="Z_C2AE7621_16FE_461B_A718_7353AC843B13_.wvu.PrintArea" localSheetId="1" hidden="1">'Werte Berechnung Retention'!$A$1:$AG$89</definedName>
  </definedNames>
  <calcPr calcId="145621"/>
  <customWorkbookViews>
    <customWorkbookView name="urs - Persönliche Ansicht" guid="{C2AE7621-16FE-461B-A718-7353AC843B13}" mergeInterval="0" personalView="1" maximized="1" xWindow="1" yWindow="1" windowWidth="1596" windowHeight="646" activeSheetId="5"/>
  </customWorkbookViews>
</workbook>
</file>

<file path=xl/calcChain.xml><?xml version="1.0" encoding="utf-8"?>
<calcChain xmlns="http://schemas.openxmlformats.org/spreadsheetml/2006/main">
  <c r="F33" i="1" l="1"/>
  <c r="B27" i="2" s="1"/>
  <c r="B33" i="2" s="1"/>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AG7" i="2"/>
  <c r="AH7" i="2"/>
  <c r="AI7" i="2"/>
  <c r="AJ7" i="2"/>
  <c r="AK7" i="2"/>
  <c r="AL7" i="2"/>
  <c r="AM7" i="2"/>
  <c r="AN7" i="2"/>
  <c r="AO7" i="2"/>
  <c r="AP7" i="2"/>
  <c r="AQ7" i="2"/>
  <c r="AR7" i="2"/>
  <c r="AS7" i="2"/>
  <c r="AT7" i="2"/>
  <c r="AU7" i="2"/>
  <c r="AV7" i="2"/>
  <c r="AW7" i="2"/>
  <c r="AX7" i="2"/>
  <c r="AY7" i="2"/>
  <c r="AZ7" i="2"/>
  <c r="BA7" i="2"/>
  <c r="BB7" i="2"/>
  <c r="BC7" i="2"/>
  <c r="BD7" i="2"/>
  <c r="BE7" i="2"/>
  <c r="BF7" i="2"/>
  <c r="BG7" i="2"/>
  <c r="BH7" i="2"/>
  <c r="BI7" i="2"/>
  <c r="BJ7" i="2"/>
  <c r="BK7" i="2"/>
  <c r="AG8" i="2"/>
  <c r="AH8" i="2"/>
  <c r="AI8" i="2"/>
  <c r="AJ8" i="2"/>
  <c r="AK8" i="2"/>
  <c r="AL8" i="2"/>
  <c r="AM8" i="2"/>
  <c r="AN8" i="2"/>
  <c r="AO8" i="2"/>
  <c r="AP8" i="2"/>
  <c r="AQ8" i="2"/>
  <c r="AR8" i="2"/>
  <c r="AS8" i="2"/>
  <c r="AT8" i="2"/>
  <c r="AU8" i="2"/>
  <c r="AV8" i="2"/>
  <c r="AW8" i="2"/>
  <c r="AX8" i="2"/>
  <c r="AY8" i="2"/>
  <c r="AZ8" i="2"/>
  <c r="BA8" i="2"/>
  <c r="BB8" i="2"/>
  <c r="BC8" i="2"/>
  <c r="BD8" i="2"/>
  <c r="BE8" i="2"/>
  <c r="BF8" i="2"/>
  <c r="BG8" i="2"/>
  <c r="BH8" i="2"/>
  <c r="BI8" i="2"/>
  <c r="BJ8" i="2"/>
  <c r="BK8" i="2"/>
  <c r="AG9" i="2"/>
  <c r="AH9" i="2"/>
  <c r="AI9" i="2"/>
  <c r="AJ9" i="2"/>
  <c r="AK9" i="2"/>
  <c r="AL9" i="2"/>
  <c r="AM9" i="2"/>
  <c r="AN9" i="2"/>
  <c r="AO9" i="2"/>
  <c r="AP9" i="2"/>
  <c r="AQ9" i="2"/>
  <c r="AR9" i="2"/>
  <c r="AS9" i="2"/>
  <c r="AT9" i="2"/>
  <c r="AU9" i="2"/>
  <c r="AV9" i="2"/>
  <c r="AW9" i="2"/>
  <c r="AX9" i="2"/>
  <c r="AY9" i="2"/>
  <c r="AZ9" i="2"/>
  <c r="BA9" i="2"/>
  <c r="BB9" i="2"/>
  <c r="BC9" i="2"/>
  <c r="BD9" i="2"/>
  <c r="BE9" i="2"/>
  <c r="BF9" i="2"/>
  <c r="BG9" i="2"/>
  <c r="BH9" i="2"/>
  <c r="BI9" i="2"/>
  <c r="BJ9" i="2"/>
  <c r="BK9" i="2"/>
  <c r="AG10" i="2"/>
  <c r="AH10" i="2"/>
  <c r="AI10" i="2"/>
  <c r="AJ10" i="2"/>
  <c r="AK10" i="2"/>
  <c r="AL10" i="2"/>
  <c r="AM10" i="2"/>
  <c r="AN10" i="2"/>
  <c r="AO10" i="2"/>
  <c r="AP10" i="2"/>
  <c r="AQ10" i="2"/>
  <c r="AR10" i="2"/>
  <c r="AS10" i="2"/>
  <c r="AT10" i="2"/>
  <c r="AU10" i="2"/>
  <c r="AV10" i="2"/>
  <c r="AW10" i="2"/>
  <c r="AX10" i="2"/>
  <c r="AY10" i="2"/>
  <c r="AZ10" i="2"/>
  <c r="BA10" i="2"/>
  <c r="BB10" i="2"/>
  <c r="BC10" i="2"/>
  <c r="BD10" i="2"/>
  <c r="BE10" i="2"/>
  <c r="BF10" i="2"/>
  <c r="BG10" i="2"/>
  <c r="BH10" i="2"/>
  <c r="BI10" i="2"/>
  <c r="BJ10" i="2"/>
  <c r="BK10" i="2"/>
  <c r="AG11" i="2"/>
  <c r="AH11" i="2"/>
  <c r="AI11" i="2"/>
  <c r="AJ11" i="2"/>
  <c r="AK11" i="2"/>
  <c r="AL11" i="2"/>
  <c r="AM11" i="2"/>
  <c r="AN11" i="2"/>
  <c r="AO11" i="2"/>
  <c r="AP11" i="2"/>
  <c r="AQ11" i="2"/>
  <c r="AR11" i="2"/>
  <c r="AS11" i="2"/>
  <c r="AT11" i="2"/>
  <c r="AU11" i="2"/>
  <c r="AV11" i="2"/>
  <c r="AW11" i="2"/>
  <c r="AX11" i="2"/>
  <c r="AY11" i="2"/>
  <c r="AZ11" i="2"/>
  <c r="BA11" i="2"/>
  <c r="BB11" i="2"/>
  <c r="BC11" i="2"/>
  <c r="BD11" i="2"/>
  <c r="BE11" i="2"/>
  <c r="BF11" i="2"/>
  <c r="BG11" i="2"/>
  <c r="BH11" i="2"/>
  <c r="BI11" i="2"/>
  <c r="BJ11" i="2"/>
  <c r="BK11" i="2"/>
  <c r="R6" i="2"/>
  <c r="S6" i="2"/>
  <c r="T6" i="2"/>
  <c r="U6" i="2"/>
  <c r="V6" i="2"/>
  <c r="W6" i="2"/>
  <c r="X6" i="2"/>
  <c r="Y6" i="2"/>
  <c r="Z6" i="2"/>
  <c r="AA6" i="2"/>
  <c r="AB6" i="2"/>
  <c r="AC6" i="2"/>
  <c r="AD6" i="2"/>
  <c r="AE6" i="2"/>
  <c r="AF6" i="2"/>
  <c r="R7" i="2"/>
  <c r="S7" i="2"/>
  <c r="T7" i="2"/>
  <c r="U7" i="2"/>
  <c r="V7" i="2"/>
  <c r="W7" i="2"/>
  <c r="X7" i="2"/>
  <c r="Y7" i="2"/>
  <c r="Z7" i="2"/>
  <c r="AA7" i="2"/>
  <c r="AB7" i="2"/>
  <c r="AC7" i="2"/>
  <c r="AD7" i="2"/>
  <c r="AE7" i="2"/>
  <c r="AF7" i="2"/>
  <c r="R8" i="2"/>
  <c r="S8" i="2"/>
  <c r="T8" i="2"/>
  <c r="U8" i="2"/>
  <c r="V8" i="2"/>
  <c r="W8" i="2"/>
  <c r="X8" i="2"/>
  <c r="Y8" i="2"/>
  <c r="Z8" i="2"/>
  <c r="AA8" i="2"/>
  <c r="AB8" i="2"/>
  <c r="AC8" i="2"/>
  <c r="AD8" i="2"/>
  <c r="AE8" i="2"/>
  <c r="AF8" i="2"/>
  <c r="R9" i="2"/>
  <c r="S9" i="2"/>
  <c r="T9" i="2"/>
  <c r="U9" i="2"/>
  <c r="V9" i="2"/>
  <c r="W9" i="2"/>
  <c r="X9" i="2"/>
  <c r="Y9" i="2"/>
  <c r="Z9" i="2"/>
  <c r="AA9" i="2"/>
  <c r="AB9" i="2"/>
  <c r="AC9" i="2"/>
  <c r="AD9" i="2"/>
  <c r="AE9" i="2"/>
  <c r="AF9" i="2"/>
  <c r="R10" i="2"/>
  <c r="S10" i="2"/>
  <c r="T10" i="2"/>
  <c r="U10" i="2"/>
  <c r="V10" i="2"/>
  <c r="W10" i="2"/>
  <c r="X10" i="2"/>
  <c r="Y10" i="2"/>
  <c r="Z10" i="2"/>
  <c r="AA10" i="2"/>
  <c r="AB10" i="2"/>
  <c r="AC10" i="2"/>
  <c r="AD10" i="2"/>
  <c r="AE10" i="2"/>
  <c r="AF10" i="2"/>
  <c r="R11" i="2"/>
  <c r="S11" i="2"/>
  <c r="T11" i="2"/>
  <c r="U11" i="2"/>
  <c r="V11" i="2"/>
  <c r="W11" i="2"/>
  <c r="X11" i="2"/>
  <c r="Y11" i="2"/>
  <c r="Z11" i="2"/>
  <c r="AA11" i="2"/>
  <c r="AB11" i="2"/>
  <c r="AC11" i="2"/>
  <c r="AD11" i="2"/>
  <c r="AE11" i="2"/>
  <c r="AF11" i="2"/>
  <c r="Q6" i="2"/>
  <c r="P6" i="2"/>
  <c r="P7" i="2"/>
  <c r="Q7" i="2"/>
  <c r="P8" i="2"/>
  <c r="Q8" i="2"/>
  <c r="P9" i="2"/>
  <c r="Q9" i="2"/>
  <c r="P10" i="2"/>
  <c r="Q10" i="2"/>
  <c r="P11" i="2"/>
  <c r="Q11" i="2"/>
  <c r="O6" i="2"/>
  <c r="D9" i="2"/>
  <c r="B34" i="2" l="1"/>
  <c r="P18" i="1"/>
  <c r="B57" i="2" s="1"/>
  <c r="B53" i="2" l="1"/>
  <c r="O11" i="2"/>
  <c r="N11" i="2"/>
  <c r="M11" i="2"/>
  <c r="L11" i="2"/>
  <c r="K11" i="2"/>
  <c r="J11" i="2"/>
  <c r="I11" i="2"/>
  <c r="H11" i="2"/>
  <c r="G11" i="2"/>
  <c r="F11" i="2"/>
  <c r="E11" i="2"/>
  <c r="D11" i="2"/>
  <c r="O10" i="2"/>
  <c r="N10" i="2"/>
  <c r="M10" i="2"/>
  <c r="L10" i="2"/>
  <c r="K10" i="2"/>
  <c r="J10" i="2"/>
  <c r="I10" i="2"/>
  <c r="H10" i="2"/>
  <c r="G10" i="2"/>
  <c r="F10" i="2"/>
  <c r="E10" i="2"/>
  <c r="D10" i="2"/>
  <c r="O9" i="2" l="1"/>
  <c r="N9" i="2"/>
  <c r="M9" i="2"/>
  <c r="L9" i="2"/>
  <c r="K9" i="2"/>
  <c r="J9" i="2"/>
  <c r="I9" i="2"/>
  <c r="H9" i="2"/>
  <c r="G9" i="2"/>
  <c r="F9" i="2"/>
  <c r="E9" i="2"/>
  <c r="O8" i="2"/>
  <c r="N8" i="2"/>
  <c r="M8" i="2"/>
  <c r="L8" i="2"/>
  <c r="K8" i="2"/>
  <c r="J8" i="2"/>
  <c r="I8" i="2"/>
  <c r="H8" i="2"/>
  <c r="G8" i="2"/>
  <c r="F8" i="2"/>
  <c r="E8" i="2"/>
  <c r="D8" i="2"/>
  <c r="O7" i="2"/>
  <c r="N7" i="2"/>
  <c r="M7" i="2"/>
  <c r="L7" i="2"/>
  <c r="K7" i="2"/>
  <c r="J7" i="2"/>
  <c r="I7" i="2"/>
  <c r="H7" i="2"/>
  <c r="G7" i="2"/>
  <c r="F7" i="2"/>
  <c r="E7" i="2"/>
  <c r="D7" i="2"/>
  <c r="N6" i="2"/>
  <c r="M6" i="2"/>
  <c r="L6" i="2"/>
  <c r="K6" i="2"/>
  <c r="J6" i="2"/>
  <c r="I6" i="2"/>
  <c r="H6" i="2"/>
  <c r="G6" i="2"/>
  <c r="F6" i="2"/>
  <c r="E6" i="2"/>
  <c r="D6" i="2"/>
  <c r="H31" i="1" l="1"/>
  <c r="H30" i="1"/>
  <c r="H29" i="1"/>
  <c r="H28" i="1"/>
  <c r="H27" i="1"/>
  <c r="H26" i="1"/>
  <c r="H25" i="1"/>
  <c r="H24" i="1"/>
  <c r="H23" i="1"/>
  <c r="H22" i="1"/>
  <c r="H21" i="1"/>
  <c r="H20" i="1"/>
  <c r="H33" i="1" l="1"/>
  <c r="B28" i="2" l="1"/>
  <c r="B40" i="2" s="1"/>
  <c r="G33" i="1"/>
  <c r="D43" i="2" l="1"/>
  <c r="AB45" i="2"/>
  <c r="AT42" i="2"/>
  <c r="X49" i="2"/>
  <c r="AQ49" i="2"/>
  <c r="I42" i="2"/>
  <c r="I41" i="2"/>
  <c r="K40" i="2"/>
  <c r="H42" i="2"/>
  <c r="AS40" i="2"/>
  <c r="M45" i="2"/>
  <c r="BA43" i="2"/>
  <c r="BD49" i="2"/>
  <c r="AZ40" i="2"/>
  <c r="G46" i="2"/>
  <c r="N43" i="2"/>
  <c r="S42" i="2"/>
  <c r="F47" i="2"/>
  <c r="U42" i="2"/>
  <c r="E42" i="2"/>
  <c r="G48" i="2"/>
  <c r="AW49" i="2"/>
  <c r="K46" i="2"/>
  <c r="BC47" i="2"/>
  <c r="AV45" i="2"/>
  <c r="B48" i="2"/>
  <c r="BB45" i="2"/>
  <c r="AU43" i="2"/>
  <c r="E50" i="2"/>
  <c r="E48" i="2"/>
  <c r="E47" i="2"/>
  <c r="H40" i="2"/>
  <c r="K47" i="2"/>
  <c r="E51" i="2"/>
  <c r="J42" i="2"/>
  <c r="E49" i="2"/>
  <c r="B50" i="2"/>
  <c r="BD45" i="2"/>
  <c r="BC43" i="2"/>
  <c r="BB42" i="2"/>
  <c r="BA40" i="2"/>
  <c r="N40" i="2"/>
  <c r="AA42" i="2"/>
  <c r="AY49" i="2"/>
  <c r="AX47" i="2"/>
  <c r="AW45" i="2"/>
  <c r="AV42" i="2"/>
  <c r="AU40" i="2"/>
  <c r="Z49" i="2"/>
  <c r="W45" i="2"/>
  <c r="P42" i="2"/>
  <c r="AR47" i="2"/>
  <c r="AQ45" i="2"/>
  <c r="AP43" i="2"/>
  <c r="C47" i="2"/>
  <c r="E41" i="2"/>
  <c r="B46" i="2"/>
  <c r="D40" i="2"/>
  <c r="D42" i="2"/>
  <c r="K51" i="2"/>
  <c r="I49" i="2"/>
  <c r="L47" i="2"/>
  <c r="L42" i="2"/>
  <c r="K50" i="2"/>
  <c r="G42" i="2"/>
  <c r="D45" i="2"/>
  <c r="C51" i="2"/>
  <c r="BD42" i="2"/>
  <c r="BC40" i="2"/>
  <c r="O45" i="2"/>
  <c r="P47" i="2"/>
  <c r="X42" i="2"/>
  <c r="AZ47" i="2"/>
  <c r="AY45" i="2"/>
  <c r="AX43" i="2"/>
  <c r="AW42" i="2"/>
  <c r="M51" i="2"/>
  <c r="Y45" i="2"/>
  <c r="R42" i="2"/>
  <c r="AT49" i="2"/>
  <c r="AS47" i="2"/>
  <c r="AR43" i="2"/>
  <c r="AQ42" i="2"/>
  <c r="AP40" i="2"/>
  <c r="AO45" i="2"/>
  <c r="AP47" i="2"/>
  <c r="E43" i="2"/>
  <c r="G52" i="2"/>
  <c r="L40" i="2"/>
  <c r="H49" i="2"/>
  <c r="C45" i="2"/>
  <c r="J45" i="2"/>
  <c r="L45" i="2"/>
  <c r="E52" i="2"/>
  <c r="F49" i="2"/>
  <c r="H47" i="2"/>
  <c r="J49" i="2"/>
  <c r="J47" i="2"/>
  <c r="G45" i="2"/>
  <c r="M50" i="2"/>
  <c r="R47" i="2"/>
  <c r="Z42" i="2"/>
  <c r="BB49" i="2"/>
  <c r="BA47" i="2"/>
  <c r="AZ43" i="2"/>
  <c r="AY42" i="2"/>
  <c r="AX40" i="2"/>
  <c r="AC49" i="2"/>
  <c r="V45" i="2"/>
  <c r="AV49" i="2"/>
  <c r="AU47" i="2"/>
  <c r="AT45" i="2"/>
  <c r="AS43" i="2"/>
  <c r="AR40" i="2"/>
  <c r="AA49" i="2"/>
  <c r="T45" i="2"/>
  <c r="U49" i="2"/>
  <c r="AO42" i="2"/>
  <c r="T49" i="2"/>
  <c r="AB40" i="2"/>
  <c r="BE49" i="2"/>
  <c r="G44" i="2"/>
  <c r="I50" i="2"/>
  <c r="G47" i="2"/>
  <c r="I46" i="2"/>
  <c r="E45" i="2"/>
  <c r="F45" i="2"/>
  <c r="C52" i="2"/>
  <c r="E46" i="2"/>
  <c r="L49" i="2"/>
  <c r="B42" i="2"/>
  <c r="K41" i="2"/>
  <c r="J40" i="2"/>
  <c r="K49" i="2"/>
  <c r="H45" i="2"/>
  <c r="K42" i="2"/>
  <c r="G49" i="2"/>
  <c r="K52" i="2"/>
  <c r="K43" i="2"/>
  <c r="C49" i="2"/>
  <c r="G51" i="2"/>
  <c r="F40" i="2"/>
  <c r="I47" i="2"/>
  <c r="I52" i="2"/>
  <c r="G50" i="2"/>
  <c r="I40" i="2"/>
  <c r="M43" i="2"/>
  <c r="M48" i="2"/>
  <c r="AN42" i="2"/>
  <c r="AN45" i="2"/>
  <c r="AN49" i="2"/>
  <c r="Q45" i="2"/>
  <c r="AM40" i="2"/>
  <c r="AM43" i="2"/>
  <c r="AM47" i="2"/>
  <c r="Y40" i="2"/>
  <c r="R49" i="2"/>
  <c r="AL42" i="2"/>
  <c r="AL45" i="2"/>
  <c r="AL49" i="2"/>
  <c r="Z43" i="2"/>
  <c r="AK40" i="2"/>
  <c r="AK43" i="2"/>
  <c r="AK47" i="2"/>
  <c r="W40" i="2"/>
  <c r="P49" i="2"/>
  <c r="AJ40" i="2"/>
  <c r="AJ43" i="2"/>
  <c r="AJ47" i="2"/>
  <c r="V40" i="2"/>
  <c r="S49" i="2"/>
  <c r="AI42" i="2"/>
  <c r="AI45" i="2"/>
  <c r="AI49" i="2"/>
  <c r="AA43" i="2"/>
  <c r="AH40" i="2"/>
  <c r="AH43" i="2"/>
  <c r="AH47" i="2"/>
  <c r="T40" i="2"/>
  <c r="AB47" i="2"/>
  <c r="AG42" i="2"/>
  <c r="AG45" i="2"/>
  <c r="AG49" i="2"/>
  <c r="U43" i="2"/>
  <c r="K44" i="2"/>
  <c r="AF42" i="2"/>
  <c r="AF45" i="2"/>
  <c r="AF49" i="2"/>
  <c r="X43" i="2"/>
  <c r="AE40" i="2"/>
  <c r="AE43" i="2"/>
  <c r="AE47" i="2"/>
  <c r="Q40" i="2"/>
  <c r="Y47" i="2"/>
  <c r="AD42" i="2"/>
  <c r="AD45" i="2"/>
  <c r="AD49" i="2"/>
  <c r="R43" i="2"/>
  <c r="N49" i="2"/>
  <c r="BI42" i="2"/>
  <c r="BI45" i="2"/>
  <c r="BI49" i="2"/>
  <c r="W47" i="2"/>
  <c r="M41" i="2"/>
  <c r="BH42" i="2"/>
  <c r="BH45" i="2"/>
  <c r="BH49" i="2"/>
  <c r="V47" i="2"/>
  <c r="BG40" i="2"/>
  <c r="BG43" i="2"/>
  <c r="BG47" i="2"/>
  <c r="S43" i="2"/>
  <c r="O49" i="2"/>
  <c r="BF42" i="2"/>
  <c r="BF45" i="2"/>
  <c r="BF49" i="2"/>
  <c r="T47" i="2"/>
  <c r="BE40" i="2"/>
  <c r="BE43" i="2"/>
  <c r="AO49" i="2"/>
  <c r="S47" i="2"/>
  <c r="D49" i="2"/>
  <c r="J43" i="2"/>
  <c r="D47" i="2"/>
  <c r="M42" i="2"/>
  <c r="M47" i="2"/>
  <c r="BD40" i="2"/>
  <c r="BD43" i="2"/>
  <c r="BD47" i="2"/>
  <c r="P43" i="2"/>
  <c r="N47" i="2"/>
  <c r="BC42" i="2"/>
  <c r="BC45" i="2"/>
  <c r="BC49" i="2"/>
  <c r="Q47" i="2"/>
  <c r="BB40" i="2"/>
  <c r="BB43" i="2"/>
  <c r="BB47" i="2"/>
  <c r="Y42" i="2"/>
  <c r="N42" i="2"/>
  <c r="BA42" i="2"/>
  <c r="BA45" i="2"/>
  <c r="BA49" i="2"/>
  <c r="Z45" i="2"/>
  <c r="M46" i="2"/>
  <c r="AZ42" i="2"/>
  <c r="AZ45" i="2"/>
  <c r="AZ49" i="2"/>
  <c r="AC45" i="2"/>
  <c r="AY40" i="2"/>
  <c r="AY43" i="2"/>
  <c r="AY47" i="2"/>
  <c r="V42" i="2"/>
  <c r="O42" i="2"/>
  <c r="AX42" i="2"/>
  <c r="AX45" i="2"/>
  <c r="AX49" i="2"/>
  <c r="AA45" i="2"/>
  <c r="AW40" i="2"/>
  <c r="AW43" i="2"/>
  <c r="AW47" i="2"/>
  <c r="T42" i="2"/>
  <c r="AB49" i="2"/>
  <c r="AV40" i="2"/>
  <c r="AV43" i="2"/>
  <c r="AV47" i="2"/>
  <c r="W42" i="2"/>
  <c r="O40" i="2"/>
  <c r="AU42" i="2"/>
  <c r="AU45" i="2"/>
  <c r="AU49" i="2"/>
  <c r="X45" i="2"/>
  <c r="AT40" i="2"/>
  <c r="AT43" i="2"/>
  <c r="AT47" i="2"/>
  <c r="Q42" i="2"/>
  <c r="Y49" i="2"/>
  <c r="AS42" i="2"/>
  <c r="AS45" i="2"/>
  <c r="AS49" i="2"/>
  <c r="R45" i="2"/>
  <c r="M52" i="2"/>
  <c r="AR42" i="2"/>
  <c r="AR45" i="2"/>
  <c r="AR49" i="2"/>
  <c r="U45" i="2"/>
  <c r="AQ40" i="2"/>
  <c r="AQ43" i="2"/>
  <c r="AQ47" i="2"/>
  <c r="AC40" i="2"/>
  <c r="V49" i="2"/>
  <c r="AP42" i="2"/>
  <c r="AP45" i="2"/>
  <c r="AP49" i="2"/>
  <c r="S45" i="2"/>
  <c r="AO40" i="2"/>
  <c r="AO43" i="2"/>
  <c r="AO47" i="2"/>
  <c r="AC43" i="2"/>
  <c r="B49" i="2"/>
  <c r="E44" i="2"/>
  <c r="K48" i="2"/>
  <c r="B47" i="2"/>
  <c r="I43" i="2"/>
  <c r="C48" i="2"/>
  <c r="H43" i="2"/>
  <c r="C41" i="2"/>
  <c r="F43" i="2"/>
  <c r="C50" i="2"/>
  <c r="C43" i="2"/>
  <c r="I51" i="2"/>
  <c r="I48" i="2"/>
  <c r="G41" i="2"/>
  <c r="E40" i="2"/>
  <c r="B51" i="2"/>
  <c r="B41" i="2"/>
  <c r="L43" i="2"/>
  <c r="K45" i="2"/>
  <c r="B52" i="2"/>
  <c r="C40" i="2"/>
  <c r="I45" i="2"/>
  <c r="G43" i="2"/>
  <c r="C42" i="2"/>
  <c r="F42" i="2"/>
  <c r="G40" i="2"/>
  <c r="M49" i="2"/>
  <c r="AN40" i="2"/>
  <c r="AN43" i="2"/>
  <c r="AN47" i="2"/>
  <c r="Z40" i="2"/>
  <c r="W49" i="2"/>
  <c r="AM42" i="2"/>
  <c r="AM45" i="2"/>
  <c r="AM49" i="2"/>
  <c r="P45" i="2"/>
  <c r="AL40" i="2"/>
  <c r="AL43" i="2"/>
  <c r="AL47" i="2"/>
  <c r="X40" i="2"/>
  <c r="Q49" i="2"/>
  <c r="AK42" i="2"/>
  <c r="AK45" i="2"/>
  <c r="AK49" i="2"/>
  <c r="Y43" i="2"/>
  <c r="M44" i="2"/>
  <c r="AJ42" i="2"/>
  <c r="AJ45" i="2"/>
  <c r="AJ49" i="2"/>
  <c r="AB43" i="2"/>
  <c r="AI40" i="2"/>
  <c r="AI43" i="2"/>
  <c r="AI47" i="2"/>
  <c r="U40" i="2"/>
  <c r="AC47" i="2"/>
  <c r="AH42" i="2"/>
  <c r="AH45" i="2"/>
  <c r="AH49" i="2"/>
  <c r="V43" i="2"/>
  <c r="AG40" i="2"/>
  <c r="AG43" i="2"/>
  <c r="AG47" i="2"/>
  <c r="S40" i="2"/>
  <c r="AA47" i="2"/>
  <c r="AF40" i="2"/>
  <c r="AF43" i="2"/>
  <c r="AF47" i="2"/>
  <c r="R40" i="2"/>
  <c r="Z47" i="2"/>
  <c r="AE42" i="2"/>
  <c r="AE45" i="2"/>
  <c r="AE49" i="2"/>
  <c r="W43" i="2"/>
  <c r="AD40" i="2"/>
  <c r="AD43" i="2"/>
  <c r="AD47" i="2"/>
  <c r="P40" i="2"/>
  <c r="X47" i="2"/>
  <c r="BI40" i="2"/>
  <c r="BI43" i="2"/>
  <c r="BI47" i="2"/>
  <c r="Q43" i="2"/>
  <c r="O47" i="2"/>
  <c r="BH40" i="2"/>
  <c r="BH43" i="2"/>
  <c r="BH47" i="2"/>
  <c r="T43" i="2"/>
  <c r="M40" i="2"/>
  <c r="BG42" i="2"/>
  <c r="BG45" i="2"/>
  <c r="BG49" i="2"/>
  <c r="U47" i="2"/>
  <c r="BF40" i="2"/>
  <c r="BF43" i="2"/>
  <c r="BF47" i="2"/>
  <c r="AC42" i="2"/>
  <c r="N45" i="2"/>
  <c r="BE42" i="2"/>
  <c r="BE45" i="2"/>
  <c r="AA40" i="2"/>
  <c r="C34" i="2"/>
  <c r="B45" i="2"/>
  <c r="B54" i="2" s="1"/>
  <c r="I44" i="2"/>
  <c r="C46" i="2"/>
  <c r="B44" i="2"/>
  <c r="B43" i="2"/>
  <c r="BE47" i="2"/>
  <c r="AB42" i="2"/>
  <c r="O43" i="2"/>
  <c r="C33" i="2"/>
  <c r="P20" i="1" s="1"/>
  <c r="C44" i="2"/>
  <c r="AJ53" i="2"/>
  <c r="AU53" i="2"/>
  <c r="M53" i="2"/>
  <c r="J53" i="2"/>
  <c r="AQ53" i="2"/>
  <c r="BG53" i="2"/>
  <c r="BF53" i="2"/>
  <c r="AA53" i="2"/>
  <c r="Z53" i="2"/>
  <c r="C53" i="2"/>
  <c r="E53" i="2"/>
  <c r="AA54" i="2" l="1"/>
  <c r="AJ54" i="2"/>
  <c r="Z54" i="2"/>
  <c r="AQ54" i="2"/>
  <c r="C54" i="2"/>
  <c r="BG54" i="2"/>
  <c r="AU54" i="2"/>
  <c r="J54" i="2"/>
  <c r="E54" i="2"/>
  <c r="BF54" i="2"/>
  <c r="M54" i="2"/>
  <c r="BH53" i="2"/>
  <c r="P31" i="1"/>
  <c r="P32" i="1" s="1"/>
  <c r="AS53" i="2"/>
  <c r="AB53" i="2"/>
  <c r="AV53" i="2"/>
  <c r="O53" i="2"/>
  <c r="V53" i="2"/>
  <c r="BI53" i="2"/>
  <c r="AP53" i="2"/>
  <c r="AG53" i="2"/>
  <c r="AX53" i="2"/>
  <c r="P53" i="2"/>
  <c r="AZ53" i="2"/>
  <c r="S53" i="2"/>
  <c r="H53" i="2"/>
  <c r="AC53" i="2"/>
  <c r="K53" i="2"/>
  <c r="AW53" i="2"/>
  <c r="AD53" i="2"/>
  <c r="Q53" i="2"/>
  <c r="F53" i="2"/>
  <c r="BD53" i="2"/>
  <c r="AL53" i="2"/>
  <c r="AF53" i="2"/>
  <c r="N53" i="2"/>
  <c r="AT53" i="2"/>
  <c r="AE53" i="2"/>
  <c r="L53" i="2"/>
  <c r="AI53" i="2"/>
  <c r="BB53" i="2"/>
  <c r="AK53" i="2"/>
  <c r="AY53" i="2"/>
  <c r="D53" i="2"/>
  <c r="W53" i="2"/>
  <c r="Y53" i="2"/>
  <c r="R53" i="2"/>
  <c r="T53" i="2"/>
  <c r="AN53" i="2"/>
  <c r="BE53" i="2"/>
  <c r="BC53" i="2"/>
  <c r="AM53" i="2"/>
  <c r="AR53" i="2"/>
  <c r="I53" i="2"/>
  <c r="BA53" i="2"/>
  <c r="AH53" i="2"/>
  <c r="U53" i="2"/>
  <c r="G53" i="2"/>
  <c r="AO53" i="2"/>
  <c r="X53" i="2"/>
  <c r="BC54" i="2" l="1"/>
  <c r="U54" i="2"/>
  <c r="AN54" i="2"/>
  <c r="BB54" i="2"/>
  <c r="BD54" i="2"/>
  <c r="S54" i="2"/>
  <c r="AG54" i="2"/>
  <c r="O54" i="2"/>
  <c r="AO54" i="2"/>
  <c r="R54" i="2"/>
  <c r="AR54" i="2"/>
  <c r="W54" i="2"/>
  <c r="AT54" i="2"/>
  <c r="AW54" i="2"/>
  <c r="G54" i="2"/>
  <c r="I54" i="2"/>
  <c r="BE54" i="2"/>
  <c r="Y54" i="2"/>
  <c r="AK54" i="2"/>
  <c r="AE54" i="2"/>
  <c r="AL54" i="2"/>
  <c r="AD54" i="2"/>
  <c r="H54" i="2"/>
  <c r="AX54" i="2"/>
  <c r="V54" i="2"/>
  <c r="AS54" i="2"/>
  <c r="BA54" i="2"/>
  <c r="AY54" i="2"/>
  <c r="L54" i="2"/>
  <c r="AF54" i="2"/>
  <c r="Q54" i="2"/>
  <c r="AC54" i="2"/>
  <c r="P54" i="2"/>
  <c r="BI54" i="2"/>
  <c r="AB54" i="2"/>
  <c r="X54" i="2"/>
  <c r="AH54" i="2"/>
  <c r="AM54" i="2"/>
  <c r="T54" i="2"/>
  <c r="D54" i="2"/>
  <c r="AI54" i="2"/>
  <c r="N54" i="2"/>
  <c r="F54" i="2"/>
  <c r="K54" i="2"/>
  <c r="AZ54" i="2"/>
  <c r="AP54" i="2"/>
  <c r="AV54" i="2"/>
  <c r="BH54" i="2"/>
  <c r="B55" i="2" l="1"/>
  <c r="P22" i="1" s="1"/>
  <c r="P23" i="1" s="1"/>
</calcChain>
</file>

<file path=xl/sharedStrings.xml><?xml version="1.0" encoding="utf-8"?>
<sst xmlns="http://schemas.openxmlformats.org/spreadsheetml/2006/main" count="324" uniqueCount="125">
  <si>
    <t>Mittelland und Tessin</t>
  </si>
  <si>
    <t>Widerkehrende Perioden</t>
  </si>
  <si>
    <t>aT</t>
  </si>
  <si>
    <t>bT</t>
  </si>
  <si>
    <t>Minuten</t>
  </si>
  <si>
    <t>l/s*ha</t>
  </si>
  <si>
    <t>5 Min</t>
  </si>
  <si>
    <t xml:space="preserve">10 Min </t>
  </si>
  <si>
    <t>20 Min</t>
  </si>
  <si>
    <t>30 Min</t>
  </si>
  <si>
    <t>40 Min</t>
  </si>
  <si>
    <t xml:space="preserve">50 Min </t>
  </si>
  <si>
    <t>60 Min</t>
  </si>
  <si>
    <t>Berechnungshilfe</t>
  </si>
  <si>
    <t xml:space="preserve">Dimensionierung von Retentionsanlagen </t>
  </si>
  <si>
    <t>Baugesuch Nr:</t>
  </si>
  <si>
    <t>Parzellennummer:</t>
  </si>
  <si>
    <t>Bauherr:</t>
  </si>
  <si>
    <t>Bezeichnung</t>
  </si>
  <si>
    <t>Schrädach Ziegel</t>
  </si>
  <si>
    <t>Schrägdach Blech, Eternit, Glas</t>
  </si>
  <si>
    <t>Flachdach</t>
  </si>
  <si>
    <t>humusiertes Flachdach  bis 15° Neigung</t>
  </si>
  <si>
    <t xml:space="preserve">Aufbaudicke &gt; 50cm </t>
  </si>
  <si>
    <t>Aufbaudicke &gt; 25-50cm</t>
  </si>
  <si>
    <t xml:space="preserve">Aufbaudicke 10-25 cm </t>
  </si>
  <si>
    <t xml:space="preserve">Aufbaudicke 10cm </t>
  </si>
  <si>
    <t>humusiertes Flachdach über 15° Neigung</t>
  </si>
  <si>
    <t xml:space="preserve">Aufbaudicke &gt; 25-50cm </t>
  </si>
  <si>
    <t>Total</t>
  </si>
  <si>
    <t>Zulässiger Abflussbeiwert (ohne Retention):</t>
  </si>
  <si>
    <t>Ergebnisse:</t>
  </si>
  <si>
    <t>l/s</t>
  </si>
  <si>
    <t>Erforderliches Retentionsvolumen</t>
  </si>
  <si>
    <t>mm</t>
  </si>
  <si>
    <t>Erforderlicher vorgeschalteter Schlammsammler (SS) nach SN 592 000, 7.6.1</t>
  </si>
  <si>
    <t>(Spülen / Kanalinspektion usw.) SN 592.000, 5.7.1.3</t>
  </si>
  <si>
    <t>Minimum DN 1'000 oder DN 900/1'000.</t>
  </si>
  <si>
    <t>Summen Objekt</t>
  </si>
  <si>
    <t>Summe m3 Objekt</t>
  </si>
  <si>
    <t>m3/ min</t>
  </si>
  <si>
    <t>m2</t>
  </si>
  <si>
    <t>Regekurve Aargau Z = 1</t>
  </si>
  <si>
    <t>Regenkurve Aargau Z = 5</t>
  </si>
  <si>
    <t>Regenkurve Aargau Z = 10</t>
  </si>
  <si>
    <t>Regenkurve Aargau Z = 20</t>
  </si>
  <si>
    <t>Regenkurve Aargau Z = 30</t>
  </si>
  <si>
    <t>Regenkurve Aargau Z = 50</t>
  </si>
  <si>
    <t>Regenkurve Aargau Z = 100</t>
  </si>
  <si>
    <t xml:space="preserve"> SN 640 350 T = 0.5</t>
  </si>
  <si>
    <t xml:space="preserve"> SN 640 350 T = 1</t>
  </si>
  <si>
    <t xml:space="preserve"> SN 640 350 T = 2</t>
  </si>
  <si>
    <t xml:space="preserve"> SN 640 350 T = 5</t>
  </si>
  <si>
    <t xml:space="preserve"> SN 640 350 T = 10</t>
  </si>
  <si>
    <t xml:space="preserve"> SN 640 350 T = 20</t>
  </si>
  <si>
    <t>Max Stauvolumen zwischen Drosselung und Regenkurve</t>
  </si>
  <si>
    <t>Regekurve Aargau Z = 5</t>
  </si>
  <si>
    <t>Regekurve Aargau Z = 10</t>
  </si>
  <si>
    <t>Regekurve Aargau Z = 20</t>
  </si>
  <si>
    <t>Regekurve Aargau Z = 30</t>
  </si>
  <si>
    <t>Regekurve Aargau Z = 50</t>
  </si>
  <si>
    <t>Regekurve Aargau Z = 100</t>
  </si>
  <si>
    <t>Grundlagen nach Tabelle Regenintänsitäskurve Aargau</t>
  </si>
  <si>
    <t>Wert aus Tabelle</t>
  </si>
  <si>
    <t>Berechneter Wasseranfall mm / h pro m2 im Intervallschritten  von 5 Minuten</t>
  </si>
  <si>
    <t>Intensität</t>
  </si>
  <si>
    <t>Wasseranfall 5 Minuten</t>
  </si>
  <si>
    <t>l/s (= Drosselwert)</t>
  </si>
  <si>
    <t>Gleichmässiger Abfluss (Q Wiesland)</t>
  </si>
  <si>
    <t>Beregnete Fläche</t>
  </si>
  <si>
    <t>Volle Fläche</t>
  </si>
  <si>
    <t>beregnet</t>
  </si>
  <si>
    <t>Reduzierte Fläche</t>
  </si>
  <si>
    <t>Liter/Sec Objekt</t>
  </si>
  <si>
    <t>in L/Sec Objekt</t>
  </si>
  <si>
    <t>Differenz zwischen Regenkurve Aargau Z5 u. Abfluss Wiesland</t>
  </si>
  <si>
    <t>Gleichmässiger Abfluss mit (Q Wiesland)</t>
  </si>
  <si>
    <t>Grundlage Berechnung Wasseranfall nach SN 640 350</t>
  </si>
  <si>
    <t>Berechnung Menge des Objekts in m3 (reduziert):</t>
  </si>
  <si>
    <t>Massgebende Fläche des Objekts (reduziert):</t>
  </si>
  <si>
    <t>Schräg-</t>
  </si>
  <si>
    <t>Die Realisierung von Retentionsvolumen kleiner 1 m3 wird aus Gründen der Verhältnismässigkeit nicht verlangt. Entsprechende Berechnungsresultate werden daher nicht angezeigt.</t>
  </si>
  <si>
    <t>Grundlagenangaben zu beregneter Dachfläche</t>
  </si>
  <si>
    <t>Abflussbeiwerte gemäss SN 592 000:2012, 7.3.6 Ablussbeiwert</t>
  </si>
  <si>
    <r>
      <t>Ablaufwassermenge Wiesland Q</t>
    </r>
    <r>
      <rPr>
        <b/>
        <vertAlign val="subscript"/>
        <sz val="14"/>
        <rFont val="Arial"/>
        <family val="2"/>
      </rPr>
      <t>nat</t>
    </r>
    <r>
      <rPr>
        <b/>
        <sz val="14"/>
        <rFont val="Arial"/>
        <family val="2"/>
      </rPr>
      <t xml:space="preserve"> </t>
    </r>
  </si>
  <si>
    <r>
      <t>Maximal anfallende Wassermenge (reduziert)  Q</t>
    </r>
    <r>
      <rPr>
        <vertAlign val="subscript"/>
        <sz val="14"/>
        <rFont val="Arial"/>
        <family val="2"/>
      </rPr>
      <t>max</t>
    </r>
  </si>
  <si>
    <r>
      <t>m</t>
    </r>
    <r>
      <rPr>
        <b/>
        <vertAlign val="superscript"/>
        <sz val="14"/>
        <rFont val="Arial"/>
        <family val="2"/>
      </rPr>
      <t>3</t>
    </r>
  </si>
  <si>
    <r>
      <t xml:space="preserve">Schachtdurchmesser </t>
    </r>
    <r>
      <rPr>
        <b/>
        <sz val="14"/>
        <rFont val="Arial"/>
        <family val="2"/>
      </rPr>
      <t xml:space="preserve">Minimum DN 800, ab Tiefe &gt;1.50m </t>
    </r>
  </si>
  <si>
    <r>
      <t>Eine L</t>
    </r>
    <r>
      <rPr>
        <b/>
        <sz val="14"/>
        <rFont val="Arial"/>
        <family val="2"/>
      </rPr>
      <t>eiter ist ab einer Tiefe von 1.20 m</t>
    </r>
    <r>
      <rPr>
        <sz val="14"/>
        <rFont val="Arial"/>
        <family val="2"/>
      </rPr>
      <t xml:space="preserve"> </t>
    </r>
    <r>
      <rPr>
        <b/>
        <sz val="14"/>
        <rFont val="Arial"/>
        <family val="2"/>
      </rPr>
      <t>vorzusehen</t>
    </r>
  </si>
  <si>
    <t xml:space="preserve">Fläche A </t>
  </si>
  <si>
    <t xml:space="preserve">Abfluss- </t>
  </si>
  <si>
    <r>
      <t xml:space="preserve"> [m</t>
    </r>
    <r>
      <rPr>
        <vertAlign val="superscript"/>
        <sz val="14"/>
        <rFont val="Arial"/>
        <family val="2"/>
      </rPr>
      <t>2</t>
    </r>
    <r>
      <rPr>
        <sz val="14"/>
        <rFont val="Arial"/>
        <family val="2"/>
      </rPr>
      <t>]</t>
    </r>
  </si>
  <si>
    <r>
      <t xml:space="preserve"> beiwert </t>
    </r>
    <r>
      <rPr>
        <sz val="14"/>
        <rFont val="Arial Unicode MS"/>
        <family val="2"/>
      </rPr>
      <t>ψ</t>
    </r>
  </si>
  <si>
    <r>
      <t xml:space="preserve"> A</t>
    </r>
    <r>
      <rPr>
        <vertAlign val="subscript"/>
        <sz val="14"/>
        <rFont val="Arial"/>
        <family val="2"/>
      </rPr>
      <t>red</t>
    </r>
    <r>
      <rPr>
        <sz val="14"/>
        <rFont val="Arial"/>
        <family val="2"/>
      </rPr>
      <t xml:space="preserve"> [m</t>
    </r>
    <r>
      <rPr>
        <vertAlign val="superscript"/>
        <sz val="14"/>
        <rFont val="Arial"/>
        <family val="2"/>
      </rPr>
      <t>2</t>
    </r>
    <r>
      <rPr>
        <sz val="14"/>
        <rFont val="Arial"/>
        <family val="2"/>
      </rPr>
      <t>]</t>
    </r>
  </si>
  <si>
    <t>Red. Fläche</t>
  </si>
  <si>
    <t>Empfehlung Durchflussöffnung rund (vgl. Systemskizze)</t>
  </si>
  <si>
    <t>Projektverfasser:</t>
  </si>
  <si>
    <t xml:space="preserve">  l/s Zufluss </t>
  </si>
  <si>
    <t xml:space="preserve">  Durchmesser (m)</t>
  </si>
  <si>
    <t xml:space="preserve">  Nutztiefe (m)</t>
  </si>
  <si>
    <t>Falls die Zuleitung zum SS keine Kontrollmöglichkeit aufweist</t>
  </si>
  <si>
    <t>Diagramm über den objektspezifischen Abfluss:</t>
  </si>
  <si>
    <t>V. 01.17</t>
  </si>
  <si>
    <t>Technische Möglichkeiten zur Umsetzung:</t>
  </si>
  <si>
    <t>Retention auf Flachdach</t>
  </si>
  <si>
    <t>Einlauf</t>
  </si>
  <si>
    <t xml:space="preserve">Konventioneller Betonschacht </t>
  </si>
  <si>
    <t>mit Retention</t>
  </si>
  <si>
    <t>(Handelsprodukt)</t>
  </si>
  <si>
    <t>Retentionstank</t>
  </si>
  <si>
    <t>Drosselablauf</t>
  </si>
  <si>
    <t>Notüberlauf</t>
  </si>
  <si>
    <t>Vorschacht</t>
  </si>
  <si>
    <t>mit</t>
  </si>
  <si>
    <t xml:space="preserve">Endschacht </t>
  </si>
  <si>
    <t xml:space="preserve"> +</t>
  </si>
  <si>
    <t xml:space="preserve">oder Fertigteil </t>
  </si>
  <si>
    <t>Retentionsweiher</t>
  </si>
  <si>
    <t>in Wohnanlage</t>
  </si>
  <si>
    <t>(bfu Richtlinie beachten)</t>
  </si>
  <si>
    <t>(z.B. kombiniert mit Regenwassernutzung)</t>
  </si>
  <si>
    <t>sammler)</t>
  </si>
  <si>
    <r>
      <rPr>
        <b/>
        <sz val="11"/>
        <color theme="1"/>
        <rFont val="Frutiger LT Std 45 Light"/>
        <family val="2"/>
      </rPr>
      <t>Retention mit Hohlraumkörpern</t>
    </r>
    <r>
      <rPr>
        <sz val="11"/>
        <color theme="1"/>
        <rFont val="Frutiger LT Std 45 Light"/>
        <family val="2"/>
      </rPr>
      <t xml:space="preserve"> (Möglichkeit bei geringer Stauhöhe)</t>
    </r>
  </si>
  <si>
    <t>(Schlamm-</t>
  </si>
  <si>
    <t xml:space="preserve">hat der SS die Funktion eines Kontroll- Inspektionsschachtes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</si>
</sst>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_ * #,##0.000_ ;_ * \-#,##0.000_ ;_ * &quot;-&quot;??_ ;_ @_ "/>
    <numFmt numFmtId="166" formatCode="_ * #,##0_ ;_ * \-#,##0_ ;_ * &quot;-&quot;??_ ;_ @_ "/>
    <numFmt numFmtId="167" formatCode="#,##0.0"/>
    <numFmt numFmtId="168" formatCode="0.0"/>
    <numFmt numFmtId="169" formatCode="_ * #,##0.0000_ ;_ * \-#,##0.0000_ ;_ * &quot;-&quot;??_ ;_ @_ "/>
  </numFmts>
  <fonts count="29"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sz val="11"/>
      <name val="Arial"/>
      <family val="2"/>
    </font>
    <font>
      <b/>
      <sz val="11"/>
      <name val="Arial"/>
      <family val="2"/>
    </font>
    <font>
      <b/>
      <sz val="14"/>
      <color theme="1"/>
      <name val="Calibri"/>
      <family val="2"/>
      <scheme val="minor"/>
    </font>
    <font>
      <b/>
      <sz val="11"/>
      <color rgb="FF00FF00"/>
      <name val="Calibri"/>
      <family val="2"/>
      <scheme val="minor"/>
    </font>
    <font>
      <sz val="11"/>
      <color rgb="FF00FF00"/>
      <name val="Calibri"/>
      <family val="2"/>
      <scheme val="minor"/>
    </font>
    <font>
      <b/>
      <sz val="11"/>
      <color rgb="FFFF0000"/>
      <name val="Calibri"/>
      <family val="2"/>
      <scheme val="minor"/>
    </font>
    <font>
      <sz val="14"/>
      <color theme="1"/>
      <name val="Calibri"/>
      <family val="2"/>
      <scheme val="minor"/>
    </font>
    <font>
      <sz val="11"/>
      <color rgb="FF00B0F0"/>
      <name val="Calibri"/>
      <family val="2"/>
      <scheme val="minor"/>
    </font>
    <font>
      <sz val="18"/>
      <name val="Arial"/>
      <family val="2"/>
    </font>
    <font>
      <b/>
      <sz val="18"/>
      <color indexed="9"/>
      <name val="Verdana"/>
      <family val="2"/>
    </font>
    <font>
      <b/>
      <sz val="18"/>
      <name val="Arial"/>
      <family val="2"/>
    </font>
    <font>
      <b/>
      <sz val="16"/>
      <name val="Arial"/>
      <family val="2"/>
    </font>
    <font>
      <b/>
      <sz val="14"/>
      <color theme="1"/>
      <name val="Arial"/>
      <family val="2"/>
    </font>
    <font>
      <sz val="14"/>
      <name val="Arial"/>
      <family val="2"/>
    </font>
    <font>
      <b/>
      <sz val="14"/>
      <name val="Arial"/>
      <family val="2"/>
    </font>
    <font>
      <vertAlign val="superscript"/>
      <sz val="14"/>
      <name val="Arial"/>
      <family val="2"/>
    </font>
    <font>
      <sz val="14"/>
      <name val="Arial Unicode MS"/>
      <family val="2"/>
    </font>
    <font>
      <vertAlign val="subscript"/>
      <sz val="14"/>
      <name val="Arial"/>
      <family val="2"/>
    </font>
    <font>
      <b/>
      <vertAlign val="subscript"/>
      <sz val="14"/>
      <name val="Arial"/>
      <family val="2"/>
    </font>
    <font>
      <b/>
      <vertAlign val="superscript"/>
      <sz val="14"/>
      <name val="Arial"/>
      <family val="2"/>
    </font>
    <font>
      <i/>
      <sz val="14"/>
      <name val="Arial"/>
      <family val="2"/>
    </font>
    <font>
      <b/>
      <sz val="28"/>
      <color theme="1"/>
      <name val="Arial"/>
      <family val="2"/>
    </font>
    <font>
      <b/>
      <sz val="11"/>
      <color theme="1"/>
      <name val="Frutiger LT Std 45 Light"/>
      <family val="2"/>
    </font>
    <font>
      <sz val="11"/>
      <color theme="1"/>
      <name val="Frutiger LT Std 45 Light"/>
      <family val="2"/>
    </font>
    <font>
      <b/>
      <sz val="16"/>
      <color theme="1"/>
      <name val="Frutiger LT Std 45 Light"/>
      <family val="2"/>
    </font>
  </fonts>
  <fills count="3">
    <fill>
      <patternFill patternType="none"/>
    </fill>
    <fill>
      <patternFill patternType="gray125"/>
    </fill>
    <fill>
      <patternFill patternType="solid">
        <fgColor rgb="FFF8F8F8"/>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s>
  <cellStyleXfs count="4">
    <xf numFmtId="0" fontId="0" fillId="0" borderId="0"/>
    <xf numFmtId="164" fontId="1" fillId="0" borderId="0" applyFont="0" applyFill="0" applyBorder="0" applyAlignment="0" applyProtection="0"/>
    <xf numFmtId="0" fontId="3" fillId="0" borderId="0"/>
    <xf numFmtId="164" fontId="3" fillId="0" borderId="0" applyFont="0" applyFill="0" applyBorder="0" applyAlignment="0" applyProtection="0"/>
  </cellStyleXfs>
  <cellXfs count="165">
    <xf numFmtId="0" fontId="0" fillId="0" borderId="0" xfId="0"/>
    <xf numFmtId="164" fontId="0" fillId="0" borderId="0" xfId="1" applyFont="1"/>
    <xf numFmtId="164" fontId="0" fillId="0" borderId="0" xfId="0" applyNumberFormat="1"/>
    <xf numFmtId="165" fontId="0" fillId="0" borderId="0" xfId="1" applyNumberFormat="1" applyFont="1"/>
    <xf numFmtId="0" fontId="0" fillId="0" borderId="5" xfId="0" applyBorder="1"/>
    <xf numFmtId="0" fontId="0" fillId="0" borderId="6" xfId="0" applyBorder="1"/>
    <xf numFmtId="0" fontId="0" fillId="0" borderId="8" xfId="0" applyBorder="1"/>
    <xf numFmtId="0" fontId="0" fillId="0" borderId="9" xfId="0" applyBorder="1"/>
    <xf numFmtId="0" fontId="0" fillId="0" borderId="11" xfId="0" applyFill="1" applyBorder="1"/>
    <xf numFmtId="0" fontId="0" fillId="0" borderId="12" xfId="0" applyBorder="1"/>
    <xf numFmtId="0" fontId="0" fillId="0" borderId="1" xfId="0" applyBorder="1"/>
    <xf numFmtId="0" fontId="0" fillId="0" borderId="2" xfId="0" applyBorder="1"/>
    <xf numFmtId="0" fontId="0" fillId="0" borderId="13" xfId="0" applyBorder="1"/>
    <xf numFmtId="0" fontId="0" fillId="0" borderId="3" xfId="0" applyBorder="1"/>
    <xf numFmtId="0" fontId="0" fillId="0" borderId="18" xfId="0" applyBorder="1"/>
    <xf numFmtId="0" fontId="0" fillId="0" borderId="19" xfId="0" applyBorder="1"/>
    <xf numFmtId="0" fontId="0" fillId="0" borderId="4" xfId="0" applyBorder="1"/>
    <xf numFmtId="164" fontId="0" fillId="0" borderId="1" xfId="1" applyFont="1" applyBorder="1"/>
    <xf numFmtId="164" fontId="2" fillId="0" borderId="1" xfId="1" applyFont="1" applyBorder="1"/>
    <xf numFmtId="0" fontId="0" fillId="0" borderId="7" xfId="0" applyBorder="1"/>
    <xf numFmtId="0" fontId="0" fillId="0" borderId="7" xfId="0" applyFill="1" applyBorder="1"/>
    <xf numFmtId="0" fontId="0" fillId="0" borderId="10" xfId="0" applyFill="1" applyBorder="1"/>
    <xf numFmtId="0" fontId="6" fillId="0" borderId="0" xfId="0" applyFont="1"/>
    <xf numFmtId="0" fontId="0" fillId="0" borderId="0" xfId="0" applyAlignment="1">
      <alignment wrapText="1"/>
    </xf>
    <xf numFmtId="165" fontId="0" fillId="0" borderId="1" xfId="1" applyNumberFormat="1" applyFont="1" applyBorder="1"/>
    <xf numFmtId="0" fontId="0" fillId="0" borderId="10" xfId="0" applyBorder="1" applyAlignment="1">
      <alignment wrapText="1"/>
    </xf>
    <xf numFmtId="164" fontId="0" fillId="0" borderId="4" xfId="1" applyFont="1" applyBorder="1"/>
    <xf numFmtId="0" fontId="0" fillId="0" borderId="10" xfId="0" applyBorder="1"/>
    <xf numFmtId="0" fontId="0" fillId="0" borderId="11" xfId="0" applyBorder="1"/>
    <xf numFmtId="0" fontId="7" fillId="0" borderId="1" xfId="0" applyFont="1" applyBorder="1"/>
    <xf numFmtId="165" fontId="7" fillId="0" borderId="1" xfId="1" applyNumberFormat="1" applyFont="1" applyBorder="1"/>
    <xf numFmtId="0" fontId="8" fillId="0" borderId="0" xfId="0" applyFont="1"/>
    <xf numFmtId="0" fontId="8" fillId="0" borderId="1" xfId="0" applyFont="1" applyBorder="1"/>
    <xf numFmtId="164" fontId="8" fillId="0" borderId="1" xfId="1" applyFont="1" applyBorder="1"/>
    <xf numFmtId="164" fontId="0" fillId="0" borderId="1" xfId="0" applyNumberFormat="1" applyBorder="1"/>
    <xf numFmtId="165" fontId="2" fillId="0" borderId="1" xfId="1" applyNumberFormat="1" applyFont="1" applyBorder="1"/>
    <xf numFmtId="0" fontId="7" fillId="0" borderId="0" xfId="0" applyFont="1" applyBorder="1"/>
    <xf numFmtId="0" fontId="10" fillId="0" borderId="0" xfId="0" applyFont="1"/>
    <xf numFmtId="0" fontId="2" fillId="0" borderId="0" xfId="0" applyFont="1"/>
    <xf numFmtId="164" fontId="9" fillId="0" borderId="0" xfId="1" applyFont="1"/>
    <xf numFmtId="0" fontId="9" fillId="0" borderId="0" xfId="0" applyFont="1"/>
    <xf numFmtId="0" fontId="0" fillId="0" borderId="12" xfId="0" applyFill="1" applyBorder="1"/>
    <xf numFmtId="0" fontId="0" fillId="0" borderId="7" xfId="1" applyNumberFormat="1" applyFont="1" applyBorder="1"/>
    <xf numFmtId="0" fontId="0" fillId="0" borderId="6" xfId="1" applyNumberFormat="1" applyFont="1" applyBorder="1"/>
    <xf numFmtId="0" fontId="0" fillId="0" borderId="0" xfId="1" applyNumberFormat="1" applyFont="1"/>
    <xf numFmtId="164" fontId="0" fillId="0" borderId="13" xfId="0" applyNumberFormat="1" applyBorder="1" applyAlignment="1"/>
    <xf numFmtId="164" fontId="0" fillId="0" borderId="2" xfId="0" applyNumberFormat="1" applyBorder="1" applyAlignment="1"/>
    <xf numFmtId="164" fontId="0" fillId="0" borderId="3" xfId="0" applyNumberFormat="1" applyBorder="1" applyAlignment="1"/>
    <xf numFmtId="164" fontId="9" fillId="0" borderId="0" xfId="0" applyNumberFormat="1" applyFont="1"/>
    <xf numFmtId="0" fontId="11" fillId="0" borderId="4" xfId="0" applyFont="1" applyBorder="1"/>
    <xf numFmtId="164" fontId="11" fillId="0" borderId="1" xfId="0" applyNumberFormat="1" applyFont="1" applyBorder="1"/>
    <xf numFmtId="0" fontId="11" fillId="0" borderId="0" xfId="0" applyFont="1"/>
    <xf numFmtId="0" fontId="2" fillId="0" borderId="1" xfId="0" applyFont="1" applyBorder="1"/>
    <xf numFmtId="0" fontId="12" fillId="0" borderId="0" xfId="2" applyFont="1" applyFill="1" applyProtection="1"/>
    <xf numFmtId="0" fontId="17" fillId="0" borderId="0" xfId="2" applyFont="1" applyFill="1" applyProtection="1"/>
    <xf numFmtId="0" fontId="17" fillId="0" borderId="0" xfId="2" applyFont="1" applyFill="1" applyBorder="1" applyAlignment="1" applyProtection="1">
      <alignment horizontal="left" vertical="center"/>
    </xf>
    <xf numFmtId="0" fontId="17" fillId="0" borderId="0" xfId="2" applyFont="1" applyFill="1" applyAlignment="1" applyProtection="1">
      <alignment vertical="center"/>
    </xf>
    <xf numFmtId="2" fontId="17" fillId="0" borderId="1" xfId="2" applyNumberFormat="1" applyFont="1" applyFill="1" applyBorder="1" applyAlignment="1" applyProtection="1">
      <alignment horizontal="center"/>
    </xf>
    <xf numFmtId="0" fontId="17" fillId="0" borderId="1" xfId="2" applyFont="1" applyFill="1" applyBorder="1" applyAlignment="1" applyProtection="1">
      <alignment horizontal="left"/>
    </xf>
    <xf numFmtId="2" fontId="24" fillId="0" borderId="1" xfId="2" applyNumberFormat="1" applyFont="1" applyFill="1" applyBorder="1" applyAlignment="1" applyProtection="1">
      <alignment horizontal="center"/>
    </xf>
    <xf numFmtId="0" fontId="17" fillId="0" borderId="3" xfId="2" applyFont="1" applyFill="1" applyBorder="1" applyProtection="1"/>
    <xf numFmtId="0" fontId="18" fillId="0" borderId="0" xfId="2" applyFont="1" applyFill="1" applyProtection="1"/>
    <xf numFmtId="0" fontId="17" fillId="0" borderId="0" xfId="2" applyFont="1" applyFill="1" applyBorder="1" applyAlignment="1" applyProtection="1">
      <alignment vertical="center"/>
    </xf>
    <xf numFmtId="0" fontId="15" fillId="0" borderId="0" xfId="2" applyFont="1" applyFill="1" applyProtection="1"/>
    <xf numFmtId="169" fontId="11" fillId="0" borderId="13" xfId="0" applyNumberFormat="1" applyFont="1" applyBorder="1"/>
    <xf numFmtId="168" fontId="17" fillId="0" borderId="1" xfId="2" applyNumberFormat="1" applyFont="1" applyFill="1" applyBorder="1" applyProtection="1"/>
    <xf numFmtId="0" fontId="17" fillId="0" borderId="1" xfId="2" applyFont="1" applyFill="1" applyBorder="1" applyProtection="1"/>
    <xf numFmtId="166" fontId="17" fillId="2" borderId="1" xfId="3" applyNumberFormat="1" applyFont="1" applyFill="1" applyBorder="1" applyAlignment="1" applyProtection="1">
      <alignment horizontal="center"/>
      <protection locked="0"/>
    </xf>
    <xf numFmtId="0" fontId="12" fillId="0" borderId="0" xfId="2" applyFont="1" applyFill="1" applyAlignment="1" applyProtection="1">
      <alignment horizontal="left"/>
    </xf>
    <xf numFmtId="0" fontId="12" fillId="0" borderId="0" xfId="2" applyFont="1" applyFill="1" applyBorder="1" applyAlignment="1" applyProtection="1">
      <alignment horizontal="left"/>
    </xf>
    <xf numFmtId="0" fontId="26" fillId="0" borderId="0" xfId="0" applyFont="1"/>
    <xf numFmtId="0" fontId="27" fillId="0" borderId="0" xfId="0" applyFont="1"/>
    <xf numFmtId="0" fontId="28" fillId="0" borderId="0" xfId="0" applyFont="1"/>
    <xf numFmtId="0" fontId="27" fillId="0" borderId="0" xfId="0" applyFont="1" applyAlignment="1">
      <alignment horizontal="center"/>
    </xf>
    <xf numFmtId="0" fontId="25" fillId="0" borderId="0" xfId="2" applyFont="1" applyFill="1" applyProtection="1"/>
    <xf numFmtId="0" fontId="16" fillId="0" borderId="0" xfId="2" applyFont="1" applyFill="1" applyProtection="1"/>
    <xf numFmtId="0" fontId="14" fillId="0" borderId="0" xfId="2" applyFont="1" applyFill="1" applyAlignment="1" applyProtection="1"/>
    <xf numFmtId="0" fontId="13" fillId="0" borderId="0" xfId="2" applyFont="1" applyFill="1" applyBorder="1" applyAlignment="1" applyProtection="1">
      <alignment horizontal="left"/>
    </xf>
    <xf numFmtId="166" fontId="12" fillId="0" borderId="0" xfId="3" applyNumberFormat="1" applyFont="1" applyFill="1" applyBorder="1" applyAlignment="1" applyProtection="1">
      <alignment wrapText="1"/>
    </xf>
    <xf numFmtId="166" fontId="12" fillId="0" borderId="0" xfId="3" applyNumberFormat="1" applyFont="1" applyFill="1" applyBorder="1" applyAlignment="1" applyProtection="1">
      <alignment horizontal="left" wrapText="1"/>
    </xf>
    <xf numFmtId="0" fontId="18" fillId="0" borderId="4" xfId="2" applyFont="1" applyFill="1" applyBorder="1" applyProtection="1"/>
    <xf numFmtId="0" fontId="17" fillId="0" borderId="4" xfId="2" applyFont="1" applyFill="1" applyBorder="1" applyProtection="1"/>
    <xf numFmtId="0" fontId="18" fillId="0" borderId="0" xfId="0" applyFont="1" applyFill="1" applyProtection="1"/>
    <xf numFmtId="2" fontId="18" fillId="0" borderId="2" xfId="0" applyNumberFormat="1" applyFont="1" applyFill="1" applyBorder="1" applyProtection="1"/>
    <xf numFmtId="0" fontId="18" fillId="0" borderId="3" xfId="0" applyFont="1" applyFill="1" applyBorder="1" applyAlignment="1" applyProtection="1"/>
    <xf numFmtId="0" fontId="17" fillId="0" borderId="10" xfId="2" applyFont="1" applyFill="1" applyBorder="1" applyAlignment="1" applyProtection="1">
      <alignment horizontal="center" vertical="center" wrapText="1"/>
    </xf>
    <xf numFmtId="0" fontId="17" fillId="0" borderId="2" xfId="2" applyFont="1" applyFill="1" applyBorder="1" applyAlignment="1" applyProtection="1">
      <alignment vertical="center"/>
    </xf>
    <xf numFmtId="0" fontId="17" fillId="0" borderId="13" xfId="2" applyFont="1" applyFill="1" applyBorder="1" applyAlignment="1" applyProtection="1">
      <alignment vertical="center"/>
    </xf>
    <xf numFmtId="0" fontId="17" fillId="0" borderId="3" xfId="2" applyFont="1" applyFill="1" applyBorder="1" applyAlignment="1" applyProtection="1">
      <alignment vertical="center"/>
    </xf>
    <xf numFmtId="166" fontId="17" fillId="0" borderId="1" xfId="3" applyNumberFormat="1" applyFont="1" applyFill="1" applyBorder="1" applyProtection="1"/>
    <xf numFmtId="0" fontId="17" fillId="0" borderId="0" xfId="0" applyFont="1" applyFill="1" applyBorder="1" applyProtection="1"/>
    <xf numFmtId="168" fontId="17" fillId="0" borderId="2" xfId="0" applyNumberFormat="1" applyFont="1" applyFill="1" applyBorder="1" applyProtection="1"/>
    <xf numFmtId="0" fontId="17" fillId="0" borderId="13" xfId="0" applyFont="1" applyFill="1" applyBorder="1" applyProtection="1"/>
    <xf numFmtId="0" fontId="18" fillId="0" borderId="0" xfId="2" applyFont="1" applyFill="1" applyBorder="1" applyProtection="1"/>
    <xf numFmtId="2" fontId="18" fillId="0" borderId="14" xfId="2" applyNumberFormat="1" applyFont="1" applyFill="1" applyBorder="1" applyProtection="1"/>
    <xf numFmtId="0" fontId="18" fillId="0" borderId="20" xfId="2" applyFont="1" applyFill="1" applyBorder="1" applyProtection="1"/>
    <xf numFmtId="0" fontId="17" fillId="0" borderId="15" xfId="2" applyFont="1" applyFill="1" applyBorder="1" applyProtection="1"/>
    <xf numFmtId="1" fontId="17" fillId="0" borderId="16" xfId="0" applyNumberFormat="1" applyFont="1" applyFill="1" applyBorder="1" applyAlignment="1" applyProtection="1">
      <alignment horizontal="right"/>
    </xf>
    <xf numFmtId="0" fontId="17" fillId="0" borderId="23" xfId="2" applyFont="1" applyFill="1" applyBorder="1" applyProtection="1"/>
    <xf numFmtId="0" fontId="17" fillId="0" borderId="17" xfId="2" applyFont="1" applyFill="1" applyBorder="1" applyProtection="1"/>
    <xf numFmtId="0" fontId="17" fillId="0" borderId="0" xfId="2" applyFont="1" applyFill="1" applyBorder="1" applyProtection="1"/>
    <xf numFmtId="2" fontId="18" fillId="0" borderId="0" xfId="2" applyNumberFormat="1" applyFont="1" applyFill="1" applyBorder="1" applyProtection="1"/>
    <xf numFmtId="167" fontId="17" fillId="0" borderId="0" xfId="2" applyNumberFormat="1" applyFont="1" applyFill="1" applyProtection="1"/>
    <xf numFmtId="2" fontId="17" fillId="0" borderId="0" xfId="2" applyNumberFormat="1" applyFont="1" applyFill="1" applyAlignment="1" applyProtection="1">
      <alignment horizontal="center"/>
    </xf>
    <xf numFmtId="166" fontId="17" fillId="0" borderId="0" xfId="3" applyNumberFormat="1" applyFont="1" applyFill="1" applyProtection="1"/>
    <xf numFmtId="168" fontId="17" fillId="0" borderId="0" xfId="2" applyNumberFormat="1" applyFont="1" applyFill="1" applyBorder="1" applyProtection="1"/>
    <xf numFmtId="167" fontId="18" fillId="0" borderId="1" xfId="2" applyNumberFormat="1" applyFont="1" applyFill="1" applyBorder="1" applyProtection="1"/>
    <xf numFmtId="2" fontId="18" fillId="0" borderId="1" xfId="2" applyNumberFormat="1" applyFont="1" applyFill="1" applyBorder="1" applyAlignment="1" applyProtection="1">
      <alignment horizontal="center"/>
    </xf>
    <xf numFmtId="166" fontId="18" fillId="0" borderId="1" xfId="3" applyNumberFormat="1" applyFont="1" applyFill="1" applyBorder="1" applyProtection="1"/>
    <xf numFmtId="164" fontId="18" fillId="0" borderId="1" xfId="3" applyFont="1" applyFill="1" applyBorder="1" applyAlignment="1" applyProtection="1">
      <alignment horizontal="right"/>
    </xf>
    <xf numFmtId="0" fontId="17" fillId="0" borderId="9" xfId="2" applyFont="1" applyFill="1" applyBorder="1" applyProtection="1"/>
    <xf numFmtId="167" fontId="17" fillId="0" borderId="0" xfId="2" applyNumberFormat="1" applyFont="1" applyFill="1" applyBorder="1" applyProtection="1"/>
    <xf numFmtId="2" fontId="17" fillId="0" borderId="0" xfId="2" applyNumberFormat="1" applyFont="1" applyFill="1" applyBorder="1" applyAlignment="1" applyProtection="1">
      <alignment horizontal="center"/>
    </xf>
    <xf numFmtId="0" fontId="24" fillId="0" borderId="0" xfId="2" applyFont="1" applyFill="1" applyAlignment="1" applyProtection="1">
      <alignment horizontal="left"/>
    </xf>
    <xf numFmtId="166" fontId="17" fillId="0" borderId="0" xfId="3" applyNumberFormat="1" applyFont="1" applyFill="1" applyBorder="1" applyProtection="1"/>
    <xf numFmtId="0" fontId="17" fillId="0" borderId="0" xfId="2" applyFont="1" applyFill="1" applyBorder="1" applyAlignment="1" applyProtection="1">
      <alignment horizontal="center"/>
    </xf>
    <xf numFmtId="0" fontId="3" fillId="0" borderId="0" xfId="2" applyFont="1" applyFill="1" applyProtection="1"/>
    <xf numFmtId="0" fontId="4" fillId="0" borderId="0" xfId="0" applyFont="1" applyFill="1" applyBorder="1" applyProtection="1"/>
    <xf numFmtId="0" fontId="4" fillId="0" borderId="0" xfId="2" applyFont="1" applyFill="1" applyProtection="1"/>
    <xf numFmtId="0" fontId="5" fillId="0" borderId="0" xfId="2" applyFont="1" applyFill="1" applyProtection="1"/>
    <xf numFmtId="0" fontId="12" fillId="2" borderId="2" xfId="2" applyFont="1" applyFill="1" applyBorder="1" applyAlignment="1" applyProtection="1">
      <alignment horizontal="left"/>
      <protection locked="0"/>
    </xf>
    <xf numFmtId="0" fontId="12" fillId="2" borderId="13" xfId="2" applyFont="1" applyFill="1" applyBorder="1" applyAlignment="1" applyProtection="1">
      <alignment horizontal="left"/>
      <protection locked="0"/>
    </xf>
    <xf numFmtId="0" fontId="12" fillId="2" borderId="3" xfId="2" applyFont="1" applyFill="1" applyBorder="1" applyAlignment="1" applyProtection="1">
      <alignment horizontal="left"/>
      <protection locked="0"/>
    </xf>
    <xf numFmtId="1" fontId="12" fillId="2" borderId="2" xfId="3" applyNumberFormat="1" applyFont="1" applyFill="1" applyBorder="1" applyAlignment="1" applyProtection="1">
      <alignment horizontal="left"/>
      <protection locked="0"/>
    </xf>
    <xf numFmtId="1" fontId="12" fillId="2" borderId="13" xfId="3" applyNumberFormat="1" applyFont="1" applyFill="1" applyBorder="1" applyAlignment="1" applyProtection="1">
      <alignment horizontal="left"/>
      <protection locked="0"/>
    </xf>
    <xf numFmtId="1" fontId="12" fillId="2" borderId="3" xfId="3" applyNumberFormat="1" applyFont="1" applyFill="1" applyBorder="1" applyAlignment="1" applyProtection="1">
      <alignment horizontal="left"/>
      <protection locked="0"/>
    </xf>
    <xf numFmtId="166" fontId="12" fillId="2" borderId="5" xfId="3" applyNumberFormat="1" applyFont="1" applyFill="1" applyBorder="1" applyAlignment="1" applyProtection="1">
      <alignment horizontal="left" wrapText="1"/>
      <protection locked="0"/>
    </xf>
    <xf numFmtId="166" fontId="12" fillId="2" borderId="18" xfId="3" applyNumberFormat="1" applyFont="1" applyFill="1" applyBorder="1" applyAlignment="1" applyProtection="1">
      <alignment horizontal="left" wrapText="1"/>
      <protection locked="0"/>
    </xf>
    <xf numFmtId="166" fontId="12" fillId="2" borderId="6" xfId="3" applyNumberFormat="1" applyFont="1" applyFill="1" applyBorder="1" applyAlignment="1" applyProtection="1">
      <alignment horizontal="left" wrapText="1"/>
      <protection locked="0"/>
    </xf>
    <xf numFmtId="166" fontId="12" fillId="2" borderId="8" xfId="3" applyNumberFormat="1" applyFont="1" applyFill="1" applyBorder="1" applyAlignment="1" applyProtection="1">
      <alignment horizontal="left" wrapText="1"/>
      <protection locked="0"/>
    </xf>
    <xf numFmtId="166" fontId="12" fillId="2" borderId="0" xfId="3" applyNumberFormat="1" applyFont="1" applyFill="1" applyBorder="1" applyAlignment="1" applyProtection="1">
      <alignment horizontal="left" wrapText="1"/>
      <protection locked="0"/>
    </xf>
    <xf numFmtId="166" fontId="12" fillId="2" borderId="9" xfId="3" applyNumberFormat="1" applyFont="1" applyFill="1" applyBorder="1" applyAlignment="1" applyProtection="1">
      <alignment horizontal="left" wrapText="1"/>
      <protection locked="0"/>
    </xf>
    <xf numFmtId="0" fontId="12" fillId="2" borderId="8" xfId="2" applyFont="1" applyFill="1" applyBorder="1" applyAlignment="1" applyProtection="1">
      <alignment horizontal="left"/>
      <protection locked="0"/>
    </xf>
    <xf numFmtId="0" fontId="12" fillId="2" borderId="0" xfId="2" applyFont="1" applyFill="1" applyBorder="1" applyAlignment="1" applyProtection="1">
      <alignment horizontal="left"/>
      <protection locked="0"/>
    </xf>
    <xf numFmtId="0" fontId="12" fillId="2" borderId="9" xfId="2" applyFont="1" applyFill="1" applyBorder="1" applyAlignment="1" applyProtection="1">
      <alignment horizontal="left"/>
      <protection locked="0"/>
    </xf>
    <xf numFmtId="0" fontId="12" fillId="2" borderId="11" xfId="2" applyFont="1" applyFill="1" applyBorder="1" applyAlignment="1" applyProtection="1">
      <alignment horizontal="left"/>
      <protection locked="0"/>
    </xf>
    <xf numFmtId="0" fontId="12" fillId="2" borderId="19" xfId="2" applyFont="1" applyFill="1" applyBorder="1" applyAlignment="1" applyProtection="1">
      <alignment horizontal="left"/>
      <protection locked="0"/>
    </xf>
    <xf numFmtId="0" fontId="12" fillId="2" borderId="12" xfId="2" applyFont="1" applyFill="1" applyBorder="1" applyAlignment="1" applyProtection="1">
      <alignment horizontal="left"/>
      <protection locked="0"/>
    </xf>
    <xf numFmtId="0" fontId="12" fillId="2" borderId="5" xfId="2" applyFont="1" applyFill="1" applyBorder="1" applyAlignment="1" applyProtection="1">
      <alignment horizontal="left"/>
      <protection locked="0"/>
    </xf>
    <xf numFmtId="0" fontId="12" fillId="2" borderId="18" xfId="2" applyFont="1" applyFill="1" applyBorder="1" applyAlignment="1" applyProtection="1">
      <alignment horizontal="left"/>
      <protection locked="0"/>
    </xf>
    <xf numFmtId="0" fontId="12" fillId="2" borderId="6" xfId="2" applyFont="1" applyFill="1" applyBorder="1" applyAlignment="1" applyProtection="1">
      <alignment horizontal="left"/>
      <protection locked="0"/>
    </xf>
    <xf numFmtId="166" fontId="12" fillId="2" borderId="11" xfId="3" applyNumberFormat="1" applyFont="1" applyFill="1" applyBorder="1" applyAlignment="1" applyProtection="1">
      <alignment horizontal="left" wrapText="1"/>
      <protection locked="0"/>
    </xf>
    <xf numFmtId="166" fontId="12" fillId="2" borderId="19" xfId="3" applyNumberFormat="1" applyFont="1" applyFill="1" applyBorder="1" applyAlignment="1" applyProtection="1">
      <alignment horizontal="left" wrapText="1"/>
      <protection locked="0"/>
    </xf>
    <xf numFmtId="166" fontId="12" fillId="2" borderId="12" xfId="3" applyNumberFormat="1" applyFont="1" applyFill="1" applyBorder="1" applyAlignment="1" applyProtection="1">
      <alignment horizontal="left" wrapText="1"/>
      <protection locked="0"/>
    </xf>
    <xf numFmtId="0" fontId="17" fillId="0" borderId="5" xfId="2" applyFont="1" applyFill="1" applyBorder="1" applyAlignment="1" applyProtection="1">
      <alignment horizontal="center" vertical="center"/>
    </xf>
    <xf numFmtId="0" fontId="17" fillId="0" borderId="6" xfId="2" applyFont="1" applyFill="1" applyBorder="1" applyAlignment="1" applyProtection="1">
      <alignment horizontal="center" vertical="center"/>
    </xf>
    <xf numFmtId="0" fontId="17" fillId="0" borderId="8" xfId="2" applyFont="1" applyFill="1" applyBorder="1" applyAlignment="1" applyProtection="1">
      <alignment horizontal="center" vertical="center"/>
    </xf>
    <xf numFmtId="0" fontId="17" fillId="0" borderId="9" xfId="2" applyFont="1" applyFill="1" applyBorder="1" applyAlignment="1" applyProtection="1">
      <alignment horizontal="center" vertical="center"/>
    </xf>
    <xf numFmtId="0" fontId="17" fillId="0" borderId="11" xfId="2" applyFont="1" applyFill="1" applyBorder="1" applyAlignment="1" applyProtection="1">
      <alignment horizontal="center" vertical="center"/>
    </xf>
    <xf numFmtId="0" fontId="17" fillId="0" borderId="12" xfId="2" applyFont="1" applyFill="1" applyBorder="1" applyAlignment="1" applyProtection="1">
      <alignment horizontal="center" vertical="center"/>
    </xf>
    <xf numFmtId="0" fontId="18" fillId="0" borderId="14" xfId="2" applyFont="1" applyFill="1" applyBorder="1" applyAlignment="1" applyProtection="1">
      <alignment horizontal="left" vertical="justify" shrinkToFit="1" readingOrder="1"/>
    </xf>
    <xf numFmtId="0" fontId="18" fillId="0" borderId="20" xfId="2" applyFont="1" applyFill="1" applyBorder="1" applyAlignment="1" applyProtection="1">
      <alignment horizontal="left" vertical="justify" shrinkToFit="1" readingOrder="1"/>
    </xf>
    <xf numFmtId="0" fontId="18" fillId="0" borderId="15" xfId="2" applyFont="1" applyFill="1" applyBorder="1" applyAlignment="1" applyProtection="1">
      <alignment horizontal="left" vertical="justify" shrinkToFit="1" readingOrder="1"/>
    </xf>
    <xf numFmtId="0" fontId="18" fillId="0" borderId="21" xfId="2" applyFont="1" applyFill="1" applyBorder="1" applyAlignment="1" applyProtection="1">
      <alignment horizontal="left" vertical="justify" shrinkToFit="1" readingOrder="1"/>
    </xf>
    <xf numFmtId="0" fontId="18" fillId="0" borderId="0" xfId="2" applyFont="1" applyFill="1" applyBorder="1" applyAlignment="1" applyProtection="1">
      <alignment horizontal="left" vertical="justify" shrinkToFit="1" readingOrder="1"/>
    </xf>
    <xf numFmtId="0" fontId="18" fillId="0" borderId="22" xfId="2" applyFont="1" applyFill="1" applyBorder="1" applyAlignment="1" applyProtection="1">
      <alignment horizontal="left" vertical="justify" shrinkToFit="1" readingOrder="1"/>
    </xf>
    <xf numFmtId="0" fontId="18" fillId="0" borderId="16" xfId="2" applyFont="1" applyFill="1" applyBorder="1" applyAlignment="1" applyProtection="1">
      <alignment horizontal="left" vertical="justify" shrinkToFit="1" readingOrder="1"/>
    </xf>
    <xf numFmtId="0" fontId="18" fillId="0" borderId="23" xfId="2" applyFont="1" applyFill="1" applyBorder="1" applyAlignment="1" applyProtection="1">
      <alignment horizontal="left" vertical="justify" shrinkToFit="1" readingOrder="1"/>
    </xf>
    <xf numFmtId="0" fontId="18" fillId="0" borderId="17" xfId="2" applyFont="1" applyFill="1" applyBorder="1" applyAlignment="1" applyProtection="1">
      <alignment horizontal="left" vertical="justify" shrinkToFit="1" readingOrder="1"/>
    </xf>
    <xf numFmtId="0" fontId="18" fillId="0" borderId="5" xfId="2" applyFont="1" applyFill="1" applyBorder="1" applyAlignment="1" applyProtection="1">
      <alignment horizontal="left"/>
    </xf>
    <xf numFmtId="0" fontId="18" fillId="0" borderId="18" xfId="2" applyFont="1" applyFill="1" applyBorder="1" applyAlignment="1" applyProtection="1">
      <alignment horizontal="left"/>
    </xf>
    <xf numFmtId="0" fontId="18" fillId="0" borderId="6" xfId="2" applyFont="1" applyFill="1" applyBorder="1" applyAlignment="1" applyProtection="1">
      <alignment horizontal="left"/>
    </xf>
    <xf numFmtId="0" fontId="17" fillId="0" borderId="11" xfId="2" applyFont="1" applyFill="1" applyBorder="1" applyAlignment="1" applyProtection="1">
      <alignment horizontal="left" vertical="center" wrapText="1"/>
    </xf>
    <xf numFmtId="0" fontId="17" fillId="0" borderId="19" xfId="2" applyFont="1" applyFill="1" applyBorder="1" applyAlignment="1" applyProtection="1">
      <alignment horizontal="left" vertical="center" wrapText="1"/>
    </xf>
    <xf numFmtId="0" fontId="17" fillId="0" borderId="12" xfId="2" applyFont="1" applyFill="1" applyBorder="1" applyAlignment="1" applyProtection="1">
      <alignment horizontal="left" vertical="center" wrapText="1"/>
    </xf>
  </cellXfs>
  <cellStyles count="4">
    <cellStyle name="Dezimal 2" xfId="3"/>
    <cellStyle name="Komma" xfId="1" builtinId="3"/>
    <cellStyle name="Standard" xfId="0" builtinId="0"/>
    <cellStyle name="Standard 2" xfId="2"/>
  </cellStyles>
  <dxfs count="0"/>
  <tableStyles count="0" defaultTableStyle="TableStyleMedium9" defaultPivotStyle="PivotStyleLight16"/>
  <colors>
    <mruColors>
      <color rgb="FF0033CC"/>
      <color rgb="FF66FFFF"/>
      <color rgb="FFF8F8F8"/>
      <color rgb="FF00FF00"/>
      <color rgb="FFDDDDDD"/>
      <color rgb="FF000000"/>
      <color rgb="FFFF0066"/>
      <color rgb="FFFF9900"/>
      <color rgb="FFFF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435902055221209E-2"/>
          <c:y val="0.10886874636853615"/>
          <c:w val="0.74091705724786361"/>
          <c:h val="0.81299220713926601"/>
        </c:manualLayout>
      </c:layout>
      <c:lineChart>
        <c:grouping val="standard"/>
        <c:varyColors val="0"/>
        <c:ser>
          <c:idx val="0"/>
          <c:order val="0"/>
          <c:tx>
            <c:strRef>
              <c:f>'Werte Berechnung Retention'!$A$39</c:f>
              <c:strCache>
                <c:ptCount val="1"/>
                <c:pt idx="0">
                  <c:v>Summen Objekt</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Retention'!$B$39:$AW$39</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1"/>
          <c:tx>
            <c:strRef>
              <c:f>'Werte Berechnung Retention'!$A$40</c:f>
              <c:strCache>
                <c:ptCount val="1"/>
                <c:pt idx="0">
                  <c:v> SN 640 350 T = 0.5</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Retention'!$B$40:$AW$40</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2"/>
          <c:order val="2"/>
          <c:tx>
            <c:strRef>
              <c:f>'Werte Berechnung Retention'!$A$41</c:f>
              <c:strCache>
                <c:ptCount val="1"/>
                <c:pt idx="0">
                  <c:v>Regekurve Aargau Z = 1</c:v>
                </c:pt>
              </c:strCache>
            </c:strRef>
          </c:tx>
          <c:spPr>
            <a:ln>
              <a:solidFill>
                <a:srgbClr val="FF0000"/>
              </a:solidFill>
              <a:prstDash val="sysDash"/>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Retention'!$B$41:$AW$41</c:f>
            </c:numRef>
          </c:val>
          <c:smooth val="0"/>
        </c:ser>
        <c:ser>
          <c:idx val="3"/>
          <c:order val="3"/>
          <c:tx>
            <c:strRef>
              <c:f>'Werte Berechnung Retention'!$A$42</c:f>
              <c:strCache>
                <c:ptCount val="1"/>
                <c:pt idx="0">
                  <c:v> SN 640 350 T = 1</c:v>
                </c:pt>
              </c:strCache>
            </c:strRef>
          </c:tx>
          <c:spPr>
            <a:ln>
              <a:solidFill>
                <a:srgbClr val="FF0066"/>
              </a:solidFill>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Retention'!$B$42:$AW$42</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4"/>
          <c:order val="4"/>
          <c:tx>
            <c:strRef>
              <c:f>'Werte Berechnung Retention'!$A$43</c:f>
              <c:strCache>
                <c:ptCount val="1"/>
                <c:pt idx="0">
                  <c:v> SN 640 350 T = 2</c:v>
                </c:pt>
              </c:strCache>
            </c:strRef>
          </c:tx>
          <c:spPr>
            <a:ln>
              <a:solidFill>
                <a:srgbClr val="FF9900"/>
              </a:solidFill>
              <a:prstDash val="sysDash"/>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Retention'!$B$43:$AW$43</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6"/>
          <c:order val="5"/>
          <c:tx>
            <c:strRef>
              <c:f>'Werte Berechnung Retention'!$A$44</c:f>
              <c:strCache>
                <c:ptCount val="1"/>
                <c:pt idx="0">
                  <c:v>Regenkurve Aargau Z = 5</c:v>
                </c:pt>
              </c:strCache>
            </c:strRef>
          </c:tx>
          <c:spPr>
            <a:ln>
              <a:prstDash val="sysDot"/>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Retention'!$B$44:$AW$44</c:f>
            </c:numRef>
          </c:val>
          <c:smooth val="0"/>
        </c:ser>
        <c:ser>
          <c:idx val="7"/>
          <c:order val="6"/>
          <c:tx>
            <c:strRef>
              <c:f>'Werte Berechnung Retention'!$A$45</c:f>
              <c:strCache>
                <c:ptCount val="1"/>
                <c:pt idx="0">
                  <c:v> SN 640 350 T = 5</c:v>
                </c:pt>
              </c:strCache>
            </c:strRef>
          </c:tx>
          <c:spPr>
            <a:ln w="50800">
              <a:solidFill>
                <a:srgbClr val="FF0000"/>
              </a:solidFill>
              <a:prstDash val="solid"/>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Retention'!$B$45:$AW$45</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8"/>
          <c:order val="7"/>
          <c:tx>
            <c:strRef>
              <c:f>'Werte Berechnung Retention'!$A$46</c:f>
              <c:strCache>
                <c:ptCount val="1"/>
                <c:pt idx="0">
                  <c:v>Regenkurve Aargau Z = 10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Retention'!$B$46:$AW$46</c:f>
            </c:numRef>
          </c:val>
          <c:smooth val="0"/>
        </c:ser>
        <c:ser>
          <c:idx val="9"/>
          <c:order val="8"/>
          <c:tx>
            <c:strRef>
              <c:f>'Werte Berechnung Retention'!$A$47</c:f>
              <c:strCache>
                <c:ptCount val="1"/>
                <c:pt idx="0">
                  <c:v> SN 640 350 T = 10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Retention'!$B$47:$AW$47</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0"/>
          <c:order val="9"/>
          <c:tx>
            <c:strRef>
              <c:f>'Werte Berechnung Retention'!$A$48</c:f>
              <c:strCache>
                <c:ptCount val="1"/>
                <c:pt idx="0">
                  <c:v>Regenkurve Aargau Z = 20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Retention'!$B$48:$AW$48</c:f>
            </c:numRef>
          </c:val>
          <c:smooth val="0"/>
        </c:ser>
        <c:ser>
          <c:idx val="11"/>
          <c:order val="10"/>
          <c:tx>
            <c:strRef>
              <c:f>'Werte Berechnung Retention'!$A$49</c:f>
              <c:strCache>
                <c:ptCount val="1"/>
                <c:pt idx="0">
                  <c:v> SN 640 350 T = 20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Retention'!$B$49:$AW$49</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2"/>
          <c:order val="11"/>
          <c:tx>
            <c:strRef>
              <c:f>'Werte Berechnung Retention'!$A$50</c:f>
              <c:strCache>
                <c:ptCount val="1"/>
                <c:pt idx="0">
                  <c:v>Regenkurve Aargau Z = 30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Retention'!$B$50:$AW$50</c:f>
            </c:numRef>
          </c:val>
          <c:smooth val="0"/>
        </c:ser>
        <c:ser>
          <c:idx val="13"/>
          <c:order val="12"/>
          <c:tx>
            <c:strRef>
              <c:f>'Werte Berechnung Retention'!$A$51</c:f>
              <c:strCache>
                <c:ptCount val="1"/>
                <c:pt idx="0">
                  <c:v>Regenkurve Aargau Z = 50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Retention'!$B$51:$AW$51</c:f>
            </c:numRef>
          </c:val>
          <c:smooth val="0"/>
        </c:ser>
        <c:ser>
          <c:idx val="14"/>
          <c:order val="13"/>
          <c:tx>
            <c:strRef>
              <c:f>'Werte Berechnung Retention'!$A$52</c:f>
              <c:strCache>
                <c:ptCount val="1"/>
                <c:pt idx="0">
                  <c:v>Regenkurve Aargau Z = 100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Retention'!$B$52:$AW$52</c:f>
            </c:numRef>
          </c:val>
          <c:smooth val="0"/>
        </c:ser>
        <c:ser>
          <c:idx val="15"/>
          <c:order val="14"/>
          <c:tx>
            <c:strRef>
              <c:f>'Werte Berechnung Retention'!$A$53</c:f>
              <c:strCache>
                <c:ptCount val="1"/>
                <c:pt idx="0">
                  <c:v>Gleichmässiger Abfluss (Q Wiesland)</c:v>
                </c:pt>
              </c:strCache>
            </c:strRef>
          </c:tx>
          <c:spPr>
            <a:ln>
              <a:solidFill>
                <a:srgbClr val="00FF00"/>
              </a:solidFill>
              <a:prstDash val="lgDashDotDot"/>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Retention'!$B$53:$AW$53</c:f>
              <c:numCache>
                <c:formatCode>_(* #,##0.00_);_(* \(#,##0.00\);_(*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dropLines/>
        <c:marker val="1"/>
        <c:smooth val="0"/>
        <c:axId val="211271680"/>
        <c:axId val="211273600"/>
      </c:lineChart>
      <c:catAx>
        <c:axId val="211271680"/>
        <c:scaling>
          <c:orientation val="minMax"/>
        </c:scaling>
        <c:delete val="0"/>
        <c:axPos val="b"/>
        <c:title>
          <c:tx>
            <c:rich>
              <a:bodyPr/>
              <a:lstStyle/>
              <a:p>
                <a:pPr>
                  <a:defRPr/>
                </a:pPr>
                <a:r>
                  <a:rPr lang="de-DE"/>
                  <a:t>Zeit in</a:t>
                </a:r>
                <a:r>
                  <a:rPr lang="de-DE" baseline="0"/>
                  <a:t> Minuten</a:t>
                </a:r>
                <a:endParaRPr lang="de-DE"/>
              </a:p>
            </c:rich>
          </c:tx>
          <c:layout/>
          <c:overlay val="0"/>
        </c:title>
        <c:numFmt formatCode="0" sourceLinked="0"/>
        <c:majorTickMark val="none"/>
        <c:minorTickMark val="none"/>
        <c:tickLblPos val="low"/>
        <c:txPr>
          <a:bodyPr rot="5400000"/>
          <a:lstStyle/>
          <a:p>
            <a:pPr>
              <a:defRPr/>
            </a:pPr>
            <a:endParaRPr lang="de-DE"/>
          </a:p>
        </c:txPr>
        <c:crossAx val="211273600"/>
        <c:crosses val="autoZero"/>
        <c:auto val="1"/>
        <c:lblAlgn val="ctr"/>
        <c:lblOffset val="1000"/>
        <c:tickMarkSkip val="5"/>
        <c:noMultiLvlLbl val="1"/>
      </c:catAx>
      <c:valAx>
        <c:axId val="211273600"/>
        <c:scaling>
          <c:orientation val="minMax"/>
        </c:scaling>
        <c:delete val="0"/>
        <c:axPos val="l"/>
        <c:majorGridlines/>
        <c:minorGridlines>
          <c:spPr>
            <a:ln>
              <a:prstDash val="lgDash"/>
            </a:ln>
          </c:spPr>
        </c:minorGridlines>
        <c:title>
          <c:tx>
            <c:rich>
              <a:bodyPr/>
              <a:lstStyle/>
              <a:p>
                <a:pPr>
                  <a:defRPr/>
                </a:pPr>
                <a:r>
                  <a:rPr lang="de-DE" baseline="0"/>
                  <a:t>Meteorwasseranfall  Bauprojekt in m3</a:t>
                </a:r>
                <a:endParaRPr lang="de-DE"/>
              </a:p>
            </c:rich>
          </c:tx>
          <c:layout/>
          <c:overlay val="0"/>
        </c:title>
        <c:numFmt formatCode="General" sourceLinked="1"/>
        <c:majorTickMark val="out"/>
        <c:minorTickMark val="in"/>
        <c:tickLblPos val="nextTo"/>
        <c:spPr>
          <a:ln>
            <a:prstDash val="sysDot"/>
          </a:ln>
        </c:spPr>
        <c:crossAx val="211271680"/>
        <c:crossesAt val="1"/>
        <c:crossBetween val="between"/>
        <c:majorUnit val="1"/>
        <c:minorUnit val="0.5"/>
      </c:valAx>
    </c:plotArea>
    <c:legend>
      <c:legendPos val="r"/>
      <c:legendEntry>
        <c:idx val="0"/>
        <c:delete val="1"/>
      </c:legendEntry>
      <c:layout>
        <c:manualLayout>
          <c:xMode val="edge"/>
          <c:yMode val="edge"/>
          <c:x val="0.79301413868835491"/>
          <c:y val="0.41093073671134622"/>
          <c:w val="0.2069858613116452"/>
          <c:h val="0.43298076923077089"/>
        </c:manualLayout>
      </c:layout>
      <c:overlay val="0"/>
      <c:txPr>
        <a:bodyPr/>
        <a:lstStyle/>
        <a:p>
          <a:pPr>
            <a:defRPr sz="1200" baseline="0"/>
          </a:pPr>
          <a:endParaRPr lang="de-DE"/>
        </a:p>
      </c:txPr>
    </c:legend>
    <c:plotVisOnly val="1"/>
    <c:dispBlanksAs val="span"/>
    <c:showDLblsOverMax val="0"/>
  </c:chart>
  <c:printSettings>
    <c:headerFooter/>
    <c:pageMargins b="0.78740157499999996" l="0.70000000000000062" r="0.70000000000000062" t="0.78740157499999996" header="0.30000000000000032" footer="0.30000000000000032"/>
    <c:pageSetup paperSize="8"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'Werte Berechnung Retention'!$A$18</c:f>
              <c:strCache>
                <c:ptCount val="1"/>
                <c:pt idx="0">
                  <c:v>Regekurve Aargau Z = 1</c:v>
                </c:pt>
              </c:strCache>
            </c:strRef>
          </c:tx>
          <c:marker>
            <c:symbol val="none"/>
          </c:marker>
          <c:cat>
            <c:multiLvlStrRef>
              <c:f>'Werte Berechnung Retention'!$B$16:$H$17</c:f>
              <c:multiLvlStrCache>
                <c:ptCount val="7"/>
                <c:lvl>
                  <c:pt idx="0">
                    <c:v>l/s*ha</c:v>
                  </c:pt>
                  <c:pt idx="1">
                    <c:v>l/s*ha</c:v>
                  </c:pt>
                  <c:pt idx="2">
                    <c:v>l/s*ha</c:v>
                  </c:pt>
                  <c:pt idx="3">
                    <c:v>l/s*ha</c:v>
                  </c:pt>
                  <c:pt idx="4">
                    <c:v>l/s*ha</c:v>
                  </c:pt>
                  <c:pt idx="5">
                    <c:v>l/s*ha</c:v>
                  </c:pt>
                  <c:pt idx="6">
                    <c:v>l/s*ha</c:v>
                  </c:pt>
                </c:lvl>
                <c:lvl>
                  <c:pt idx="0">
                    <c:v>5 Min</c:v>
                  </c:pt>
                  <c:pt idx="1">
                    <c:v>10 Min </c:v>
                  </c:pt>
                  <c:pt idx="2">
                    <c:v>20 Min</c:v>
                  </c:pt>
                  <c:pt idx="3">
                    <c:v>30 Min</c:v>
                  </c:pt>
                  <c:pt idx="4">
                    <c:v>40 Min</c:v>
                  </c:pt>
                  <c:pt idx="5">
                    <c:v>50 Min </c:v>
                  </c:pt>
                  <c:pt idx="6">
                    <c:v>60 Min</c:v>
                  </c:pt>
                </c:lvl>
              </c:multiLvlStrCache>
            </c:multiLvlStrRef>
          </c:cat>
          <c:val>
            <c:numRef>
              <c:f>'Werte Berechnung Retention'!$B$18:$H$18</c:f>
              <c:numCache>
                <c:formatCode>General</c:formatCode>
                <c:ptCount val="7"/>
                <c:pt idx="0">
                  <c:v>220</c:v>
                </c:pt>
                <c:pt idx="1">
                  <c:v>165</c:v>
                </c:pt>
                <c:pt idx="2" formatCode="_(* #,##0.00_);_(* \(#,##0.00\);_(* &quot;-&quot;??_);_(@_)">
                  <c:v>105</c:v>
                </c:pt>
                <c:pt idx="3">
                  <c:v>80</c:v>
                </c:pt>
                <c:pt idx="4">
                  <c:v>65</c:v>
                </c:pt>
                <c:pt idx="5">
                  <c:v>55</c:v>
                </c:pt>
                <c:pt idx="6">
                  <c:v>50</c:v>
                </c:pt>
              </c:numCache>
            </c:numRef>
          </c:val>
          <c:smooth val="0"/>
        </c:ser>
        <c:ser>
          <c:idx val="1"/>
          <c:order val="1"/>
          <c:tx>
            <c:strRef>
              <c:f>'Werte Berechnung Retention'!$A$19</c:f>
              <c:strCache>
                <c:ptCount val="1"/>
                <c:pt idx="0">
                  <c:v>Regekurve Aargau Z = 5</c:v>
                </c:pt>
              </c:strCache>
            </c:strRef>
          </c:tx>
          <c:spPr>
            <a:ln>
              <a:solidFill>
                <a:srgbClr val="00FF00"/>
              </a:solidFill>
            </a:ln>
          </c:spPr>
          <c:marker>
            <c:symbol val="none"/>
          </c:marker>
          <c:cat>
            <c:multiLvlStrRef>
              <c:f>'Werte Berechnung Retention'!$B$16:$H$17</c:f>
              <c:multiLvlStrCache>
                <c:ptCount val="7"/>
                <c:lvl>
                  <c:pt idx="0">
                    <c:v>l/s*ha</c:v>
                  </c:pt>
                  <c:pt idx="1">
                    <c:v>l/s*ha</c:v>
                  </c:pt>
                  <c:pt idx="2">
                    <c:v>l/s*ha</c:v>
                  </c:pt>
                  <c:pt idx="3">
                    <c:v>l/s*ha</c:v>
                  </c:pt>
                  <c:pt idx="4">
                    <c:v>l/s*ha</c:v>
                  </c:pt>
                  <c:pt idx="5">
                    <c:v>l/s*ha</c:v>
                  </c:pt>
                  <c:pt idx="6">
                    <c:v>l/s*ha</c:v>
                  </c:pt>
                </c:lvl>
                <c:lvl>
                  <c:pt idx="0">
                    <c:v>5 Min</c:v>
                  </c:pt>
                  <c:pt idx="1">
                    <c:v>10 Min </c:v>
                  </c:pt>
                  <c:pt idx="2">
                    <c:v>20 Min</c:v>
                  </c:pt>
                  <c:pt idx="3">
                    <c:v>30 Min</c:v>
                  </c:pt>
                  <c:pt idx="4">
                    <c:v>40 Min</c:v>
                  </c:pt>
                  <c:pt idx="5">
                    <c:v>50 Min </c:v>
                  </c:pt>
                  <c:pt idx="6">
                    <c:v>60 Min</c:v>
                  </c:pt>
                </c:lvl>
              </c:multiLvlStrCache>
            </c:multiLvlStrRef>
          </c:cat>
          <c:val>
            <c:numRef>
              <c:f>'Werte Berechnung Retention'!$B$19:$H$19</c:f>
              <c:numCache>
                <c:formatCode>General</c:formatCode>
                <c:ptCount val="7"/>
                <c:pt idx="0">
                  <c:v>345</c:v>
                </c:pt>
                <c:pt idx="1">
                  <c:v>260</c:v>
                </c:pt>
                <c:pt idx="2" formatCode="_(* #,##0.00_);_(* \(#,##0.00\);_(* &quot;-&quot;??_);_(@_)">
                  <c:v>170</c:v>
                </c:pt>
                <c:pt idx="3">
                  <c:v>130</c:v>
                </c:pt>
                <c:pt idx="4">
                  <c:v>105</c:v>
                </c:pt>
                <c:pt idx="5">
                  <c:v>90</c:v>
                </c:pt>
                <c:pt idx="6">
                  <c:v>75</c:v>
                </c:pt>
              </c:numCache>
            </c:numRef>
          </c:val>
          <c:smooth val="0"/>
        </c:ser>
        <c:ser>
          <c:idx val="2"/>
          <c:order val="2"/>
          <c:tx>
            <c:strRef>
              <c:f>'Werte Berechnung Retention'!$A$20</c:f>
              <c:strCache>
                <c:ptCount val="1"/>
                <c:pt idx="0">
                  <c:v>Regekurve Aargau Z = 10</c:v>
                </c:pt>
              </c:strCache>
            </c:strRef>
          </c:tx>
          <c:marker>
            <c:symbol val="none"/>
          </c:marker>
          <c:cat>
            <c:multiLvlStrRef>
              <c:f>'Werte Berechnung Retention'!$B$16:$H$17</c:f>
              <c:multiLvlStrCache>
                <c:ptCount val="7"/>
                <c:lvl>
                  <c:pt idx="0">
                    <c:v>l/s*ha</c:v>
                  </c:pt>
                  <c:pt idx="1">
                    <c:v>l/s*ha</c:v>
                  </c:pt>
                  <c:pt idx="2">
                    <c:v>l/s*ha</c:v>
                  </c:pt>
                  <c:pt idx="3">
                    <c:v>l/s*ha</c:v>
                  </c:pt>
                  <c:pt idx="4">
                    <c:v>l/s*ha</c:v>
                  </c:pt>
                  <c:pt idx="5">
                    <c:v>l/s*ha</c:v>
                  </c:pt>
                  <c:pt idx="6">
                    <c:v>l/s*ha</c:v>
                  </c:pt>
                </c:lvl>
                <c:lvl>
                  <c:pt idx="0">
                    <c:v>5 Min</c:v>
                  </c:pt>
                  <c:pt idx="1">
                    <c:v>10 Min </c:v>
                  </c:pt>
                  <c:pt idx="2">
                    <c:v>20 Min</c:v>
                  </c:pt>
                  <c:pt idx="3">
                    <c:v>30 Min</c:v>
                  </c:pt>
                  <c:pt idx="4">
                    <c:v>40 Min</c:v>
                  </c:pt>
                  <c:pt idx="5">
                    <c:v>50 Min </c:v>
                  </c:pt>
                  <c:pt idx="6">
                    <c:v>60 Min</c:v>
                  </c:pt>
                </c:lvl>
              </c:multiLvlStrCache>
            </c:multiLvlStrRef>
          </c:cat>
          <c:val>
            <c:numRef>
              <c:f>'Werte Berechnung Retention'!$B$20:$H$20</c:f>
              <c:numCache>
                <c:formatCode>General</c:formatCode>
                <c:ptCount val="7"/>
                <c:pt idx="0">
                  <c:v>410</c:v>
                </c:pt>
                <c:pt idx="1">
                  <c:v>310</c:v>
                </c:pt>
                <c:pt idx="2" formatCode="_(* #,##0.00_);_(* \(#,##0.00\);_(* &quot;-&quot;??_);_(@_)">
                  <c:v>210</c:v>
                </c:pt>
                <c:pt idx="3">
                  <c:v>155</c:v>
                </c:pt>
                <c:pt idx="4">
                  <c:v>125</c:v>
                </c:pt>
                <c:pt idx="5">
                  <c:v>105</c:v>
                </c:pt>
                <c:pt idx="6">
                  <c:v>95</c:v>
                </c:pt>
              </c:numCache>
            </c:numRef>
          </c:val>
          <c:smooth val="0"/>
        </c:ser>
        <c:ser>
          <c:idx val="3"/>
          <c:order val="3"/>
          <c:tx>
            <c:strRef>
              <c:f>'Werte Berechnung Retention'!$A$21</c:f>
              <c:strCache>
                <c:ptCount val="1"/>
                <c:pt idx="0">
                  <c:v>Regekurve Aargau Z = 20</c:v>
                </c:pt>
              </c:strCache>
            </c:strRef>
          </c:tx>
          <c:marker>
            <c:symbol val="none"/>
          </c:marker>
          <c:cat>
            <c:multiLvlStrRef>
              <c:f>'Werte Berechnung Retention'!$B$16:$H$17</c:f>
              <c:multiLvlStrCache>
                <c:ptCount val="7"/>
                <c:lvl>
                  <c:pt idx="0">
                    <c:v>l/s*ha</c:v>
                  </c:pt>
                  <c:pt idx="1">
                    <c:v>l/s*ha</c:v>
                  </c:pt>
                  <c:pt idx="2">
                    <c:v>l/s*ha</c:v>
                  </c:pt>
                  <c:pt idx="3">
                    <c:v>l/s*ha</c:v>
                  </c:pt>
                  <c:pt idx="4">
                    <c:v>l/s*ha</c:v>
                  </c:pt>
                  <c:pt idx="5">
                    <c:v>l/s*ha</c:v>
                  </c:pt>
                  <c:pt idx="6">
                    <c:v>l/s*ha</c:v>
                  </c:pt>
                </c:lvl>
                <c:lvl>
                  <c:pt idx="0">
                    <c:v>5 Min</c:v>
                  </c:pt>
                  <c:pt idx="1">
                    <c:v>10 Min </c:v>
                  </c:pt>
                  <c:pt idx="2">
                    <c:v>20 Min</c:v>
                  </c:pt>
                  <c:pt idx="3">
                    <c:v>30 Min</c:v>
                  </c:pt>
                  <c:pt idx="4">
                    <c:v>40 Min</c:v>
                  </c:pt>
                  <c:pt idx="5">
                    <c:v>50 Min </c:v>
                  </c:pt>
                  <c:pt idx="6">
                    <c:v>60 Min</c:v>
                  </c:pt>
                </c:lvl>
              </c:multiLvlStrCache>
            </c:multiLvlStrRef>
          </c:cat>
          <c:val>
            <c:numRef>
              <c:f>'Werte Berechnung Retention'!$B$21:$H$21</c:f>
              <c:numCache>
                <c:formatCode>General</c:formatCode>
                <c:ptCount val="7"/>
                <c:pt idx="0">
                  <c:v>485</c:v>
                </c:pt>
                <c:pt idx="1">
                  <c:v>370</c:v>
                </c:pt>
                <c:pt idx="2" formatCode="_(* #,##0.00_);_(* \(#,##0.00\);_(* &quot;-&quot;??_);_(@_)">
                  <c:v>250</c:v>
                </c:pt>
                <c:pt idx="3">
                  <c:v>180</c:v>
                </c:pt>
                <c:pt idx="4">
                  <c:v>145</c:v>
                </c:pt>
                <c:pt idx="5">
                  <c:v>120</c:v>
                </c:pt>
                <c:pt idx="6">
                  <c:v>105</c:v>
                </c:pt>
              </c:numCache>
            </c:numRef>
          </c:val>
          <c:smooth val="0"/>
        </c:ser>
        <c:ser>
          <c:idx val="4"/>
          <c:order val="4"/>
          <c:tx>
            <c:strRef>
              <c:f>'Werte Berechnung Retention'!$A$22</c:f>
              <c:strCache>
                <c:ptCount val="1"/>
                <c:pt idx="0">
                  <c:v>Regekurve Aargau Z = 30</c:v>
                </c:pt>
              </c:strCache>
            </c:strRef>
          </c:tx>
          <c:marker>
            <c:symbol val="none"/>
          </c:marker>
          <c:cat>
            <c:multiLvlStrRef>
              <c:f>'Werte Berechnung Retention'!$B$16:$H$17</c:f>
              <c:multiLvlStrCache>
                <c:ptCount val="7"/>
                <c:lvl>
                  <c:pt idx="0">
                    <c:v>l/s*ha</c:v>
                  </c:pt>
                  <c:pt idx="1">
                    <c:v>l/s*ha</c:v>
                  </c:pt>
                  <c:pt idx="2">
                    <c:v>l/s*ha</c:v>
                  </c:pt>
                  <c:pt idx="3">
                    <c:v>l/s*ha</c:v>
                  </c:pt>
                  <c:pt idx="4">
                    <c:v>l/s*ha</c:v>
                  </c:pt>
                  <c:pt idx="5">
                    <c:v>l/s*ha</c:v>
                  </c:pt>
                  <c:pt idx="6">
                    <c:v>l/s*ha</c:v>
                  </c:pt>
                </c:lvl>
                <c:lvl>
                  <c:pt idx="0">
                    <c:v>5 Min</c:v>
                  </c:pt>
                  <c:pt idx="1">
                    <c:v>10 Min </c:v>
                  </c:pt>
                  <c:pt idx="2">
                    <c:v>20 Min</c:v>
                  </c:pt>
                  <c:pt idx="3">
                    <c:v>30 Min</c:v>
                  </c:pt>
                  <c:pt idx="4">
                    <c:v>40 Min</c:v>
                  </c:pt>
                  <c:pt idx="5">
                    <c:v>50 Min </c:v>
                  </c:pt>
                  <c:pt idx="6">
                    <c:v>60 Min</c:v>
                  </c:pt>
                </c:lvl>
              </c:multiLvlStrCache>
            </c:multiLvlStrRef>
          </c:cat>
          <c:val>
            <c:numRef>
              <c:f>'Werte Berechnung Retention'!$B$22:$H$22</c:f>
              <c:numCache>
                <c:formatCode>General</c:formatCode>
                <c:ptCount val="7"/>
                <c:pt idx="0">
                  <c:v>525</c:v>
                </c:pt>
                <c:pt idx="1">
                  <c:v>400</c:v>
                </c:pt>
                <c:pt idx="2" formatCode="_(* #,##0.00_);_(* \(#,##0.00\);_(* &quot;-&quot;??_);_(@_)">
                  <c:v>270</c:v>
                </c:pt>
                <c:pt idx="3">
                  <c:v>200</c:v>
                </c:pt>
                <c:pt idx="4">
                  <c:v>160</c:v>
                </c:pt>
                <c:pt idx="5">
                  <c:v>130</c:v>
                </c:pt>
                <c:pt idx="6">
                  <c:v>115</c:v>
                </c:pt>
              </c:numCache>
            </c:numRef>
          </c:val>
          <c:smooth val="0"/>
        </c:ser>
        <c:ser>
          <c:idx val="5"/>
          <c:order val="5"/>
          <c:tx>
            <c:strRef>
              <c:f>'Werte Berechnung Retention'!$A$23</c:f>
              <c:strCache>
                <c:ptCount val="1"/>
                <c:pt idx="0">
                  <c:v>Regekurve Aargau Z = 50</c:v>
                </c:pt>
              </c:strCache>
            </c:strRef>
          </c:tx>
          <c:marker>
            <c:symbol val="none"/>
          </c:marker>
          <c:cat>
            <c:multiLvlStrRef>
              <c:f>'Werte Berechnung Retention'!$B$16:$H$17</c:f>
              <c:multiLvlStrCache>
                <c:ptCount val="7"/>
                <c:lvl>
                  <c:pt idx="0">
                    <c:v>l/s*ha</c:v>
                  </c:pt>
                  <c:pt idx="1">
                    <c:v>l/s*ha</c:v>
                  </c:pt>
                  <c:pt idx="2">
                    <c:v>l/s*ha</c:v>
                  </c:pt>
                  <c:pt idx="3">
                    <c:v>l/s*ha</c:v>
                  </c:pt>
                  <c:pt idx="4">
                    <c:v>l/s*ha</c:v>
                  </c:pt>
                  <c:pt idx="5">
                    <c:v>l/s*ha</c:v>
                  </c:pt>
                  <c:pt idx="6">
                    <c:v>l/s*ha</c:v>
                  </c:pt>
                </c:lvl>
                <c:lvl>
                  <c:pt idx="0">
                    <c:v>5 Min</c:v>
                  </c:pt>
                  <c:pt idx="1">
                    <c:v>10 Min </c:v>
                  </c:pt>
                  <c:pt idx="2">
                    <c:v>20 Min</c:v>
                  </c:pt>
                  <c:pt idx="3">
                    <c:v>30 Min</c:v>
                  </c:pt>
                  <c:pt idx="4">
                    <c:v>40 Min</c:v>
                  </c:pt>
                  <c:pt idx="5">
                    <c:v>50 Min </c:v>
                  </c:pt>
                  <c:pt idx="6">
                    <c:v>60 Min</c:v>
                  </c:pt>
                </c:lvl>
              </c:multiLvlStrCache>
            </c:multiLvlStrRef>
          </c:cat>
          <c:val>
            <c:numRef>
              <c:f>'Werte Berechnung Retention'!$B$23:$H$23</c:f>
              <c:numCache>
                <c:formatCode>General</c:formatCode>
                <c:ptCount val="7"/>
                <c:pt idx="0">
                  <c:v>590</c:v>
                </c:pt>
                <c:pt idx="1">
                  <c:v>450</c:v>
                </c:pt>
                <c:pt idx="2" formatCode="_(* #,##0.00_);_(* \(#,##0.00\);_(* &quot;-&quot;??_);_(@_)">
                  <c:v>300</c:v>
                </c:pt>
                <c:pt idx="3">
                  <c:v>225</c:v>
                </c:pt>
                <c:pt idx="4">
                  <c:v>175</c:v>
                </c:pt>
                <c:pt idx="5">
                  <c:v>145</c:v>
                </c:pt>
                <c:pt idx="6">
                  <c:v>125</c:v>
                </c:pt>
              </c:numCache>
            </c:numRef>
          </c:val>
          <c:smooth val="0"/>
        </c:ser>
        <c:ser>
          <c:idx val="6"/>
          <c:order val="6"/>
          <c:tx>
            <c:strRef>
              <c:f>'Werte Berechnung Retention'!$A$24</c:f>
              <c:strCache>
                <c:ptCount val="1"/>
                <c:pt idx="0">
                  <c:v>Regekurve Aargau Z = 100</c:v>
                </c:pt>
              </c:strCache>
            </c:strRef>
          </c:tx>
          <c:marker>
            <c:symbol val="none"/>
          </c:marker>
          <c:cat>
            <c:multiLvlStrRef>
              <c:f>'Werte Berechnung Retention'!$B$16:$H$17</c:f>
              <c:multiLvlStrCache>
                <c:ptCount val="7"/>
                <c:lvl>
                  <c:pt idx="0">
                    <c:v>l/s*ha</c:v>
                  </c:pt>
                  <c:pt idx="1">
                    <c:v>l/s*ha</c:v>
                  </c:pt>
                  <c:pt idx="2">
                    <c:v>l/s*ha</c:v>
                  </c:pt>
                  <c:pt idx="3">
                    <c:v>l/s*ha</c:v>
                  </c:pt>
                  <c:pt idx="4">
                    <c:v>l/s*ha</c:v>
                  </c:pt>
                  <c:pt idx="5">
                    <c:v>l/s*ha</c:v>
                  </c:pt>
                  <c:pt idx="6">
                    <c:v>l/s*ha</c:v>
                  </c:pt>
                </c:lvl>
                <c:lvl>
                  <c:pt idx="0">
                    <c:v>5 Min</c:v>
                  </c:pt>
                  <c:pt idx="1">
                    <c:v>10 Min </c:v>
                  </c:pt>
                  <c:pt idx="2">
                    <c:v>20 Min</c:v>
                  </c:pt>
                  <c:pt idx="3">
                    <c:v>30 Min</c:v>
                  </c:pt>
                  <c:pt idx="4">
                    <c:v>40 Min</c:v>
                  </c:pt>
                  <c:pt idx="5">
                    <c:v>50 Min </c:v>
                  </c:pt>
                  <c:pt idx="6">
                    <c:v>60 Min</c:v>
                  </c:pt>
                </c:lvl>
              </c:multiLvlStrCache>
            </c:multiLvlStrRef>
          </c:cat>
          <c:val>
            <c:numRef>
              <c:f>'Werte Berechnung Retention'!$B$24:$H$24</c:f>
              <c:numCache>
                <c:formatCode>General</c:formatCode>
                <c:ptCount val="7"/>
                <c:pt idx="0">
                  <c:v>680</c:v>
                </c:pt>
                <c:pt idx="1">
                  <c:v>515</c:v>
                </c:pt>
                <c:pt idx="2" formatCode="_(* #,##0.00_);_(* \(#,##0.00\);_(* &quot;-&quot;??_);_(@_)">
                  <c:v>350</c:v>
                </c:pt>
                <c:pt idx="3">
                  <c:v>250</c:v>
                </c:pt>
                <c:pt idx="4">
                  <c:v>205</c:v>
                </c:pt>
                <c:pt idx="5">
                  <c:v>170</c:v>
                </c:pt>
                <c:pt idx="6">
                  <c:v>150</c:v>
                </c:pt>
              </c:numCache>
            </c:numRef>
          </c:val>
          <c:smooth val="0"/>
        </c:ser>
        <c:dLbls>
          <c:showLegendKey val="0"/>
          <c:showVal val="0"/>
          <c:showCatName val="0"/>
          <c:showSerName val="0"/>
          <c:showPercent val="0"/>
          <c:showBubbleSize val="0"/>
        </c:dLbls>
        <c:marker val="1"/>
        <c:smooth val="0"/>
        <c:axId val="211915136"/>
        <c:axId val="211916672"/>
      </c:lineChart>
      <c:catAx>
        <c:axId val="211915136"/>
        <c:scaling>
          <c:orientation val="minMax"/>
        </c:scaling>
        <c:delete val="0"/>
        <c:axPos val="b"/>
        <c:minorGridlines/>
        <c:majorTickMark val="out"/>
        <c:minorTickMark val="none"/>
        <c:tickLblPos val="nextTo"/>
        <c:crossAx val="211916672"/>
        <c:crosses val="autoZero"/>
        <c:auto val="1"/>
        <c:lblAlgn val="ctr"/>
        <c:lblOffset val="100"/>
        <c:tickLblSkip val="1"/>
        <c:noMultiLvlLbl val="0"/>
      </c:catAx>
      <c:valAx>
        <c:axId val="211916672"/>
        <c:scaling>
          <c:orientation val="minMax"/>
        </c:scaling>
        <c:delete val="0"/>
        <c:axPos val="l"/>
        <c:majorGridlines/>
        <c:minorGridlines/>
        <c:numFmt formatCode="General" sourceLinked="1"/>
        <c:majorTickMark val="out"/>
        <c:minorTickMark val="none"/>
        <c:tickLblPos val="nextTo"/>
        <c:crossAx val="211915136"/>
        <c:crosses val="autoZero"/>
        <c:crossBetween val="midCat"/>
        <c:majorUnit val="50"/>
        <c:minorUnit val="10"/>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509147177498404E-2"/>
          <c:y val="7.7741445955619298E-2"/>
          <c:w val="0.74091705724786361"/>
          <c:h val="0.81299220713926601"/>
        </c:manualLayout>
      </c:layout>
      <c:lineChart>
        <c:grouping val="standard"/>
        <c:varyColors val="0"/>
        <c:ser>
          <c:idx val="1"/>
          <c:order val="0"/>
          <c:tx>
            <c:strRef>
              <c:f>'Werte Berechnung Retention'!$A$40</c:f>
              <c:strCache>
                <c:ptCount val="1"/>
                <c:pt idx="0">
                  <c:v> SN 640 350 T = 0.5</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Retention'!$B$40:$AW$40</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2"/>
          <c:order val="1"/>
          <c:tx>
            <c:strRef>
              <c:f>'Werte Berechnung Retention'!$A$41</c:f>
              <c:strCache>
                <c:ptCount val="1"/>
                <c:pt idx="0">
                  <c:v>Regekurve Aargau Z = 1</c:v>
                </c:pt>
              </c:strCache>
            </c:strRef>
          </c:tx>
          <c:spPr>
            <a:ln>
              <a:solidFill>
                <a:srgbClr val="FF0000"/>
              </a:solidFill>
              <a:prstDash val="sysDash"/>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Retention'!$B$41:$AW$41</c:f>
            </c:numRef>
          </c:val>
          <c:smooth val="0"/>
        </c:ser>
        <c:ser>
          <c:idx val="3"/>
          <c:order val="2"/>
          <c:tx>
            <c:strRef>
              <c:f>'Werte Berechnung Retention'!$A$42</c:f>
              <c:strCache>
                <c:ptCount val="1"/>
                <c:pt idx="0">
                  <c:v> SN 640 350 T = 1</c:v>
                </c:pt>
              </c:strCache>
            </c:strRef>
          </c:tx>
          <c:spPr>
            <a:ln>
              <a:solidFill>
                <a:srgbClr val="FF0066"/>
              </a:solidFill>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Retention'!$B$42:$AW$42</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4"/>
          <c:order val="3"/>
          <c:tx>
            <c:strRef>
              <c:f>'Werte Berechnung Retention'!$A$43</c:f>
              <c:strCache>
                <c:ptCount val="1"/>
                <c:pt idx="0">
                  <c:v> SN 640 350 T = 2</c:v>
                </c:pt>
              </c:strCache>
            </c:strRef>
          </c:tx>
          <c:spPr>
            <a:ln>
              <a:solidFill>
                <a:srgbClr val="FF9900"/>
              </a:solidFill>
              <a:prstDash val="sysDash"/>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Retention'!$B$43:$AW$43</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6"/>
          <c:order val="4"/>
          <c:tx>
            <c:strRef>
              <c:f>'Werte Berechnung Retention'!$A$44</c:f>
              <c:strCache>
                <c:ptCount val="1"/>
                <c:pt idx="0">
                  <c:v>Regenkurve Aargau Z = 5</c:v>
                </c:pt>
              </c:strCache>
            </c:strRef>
          </c:tx>
          <c:spPr>
            <a:ln>
              <a:prstDash val="sysDot"/>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Retention'!$B$44:$AW$44</c:f>
            </c:numRef>
          </c:val>
          <c:smooth val="0"/>
        </c:ser>
        <c:ser>
          <c:idx val="7"/>
          <c:order val="5"/>
          <c:tx>
            <c:strRef>
              <c:f>'Werte Berechnung Retention'!$A$45</c:f>
              <c:strCache>
                <c:ptCount val="1"/>
                <c:pt idx="0">
                  <c:v> SN 640 350 T = 5</c:v>
                </c:pt>
              </c:strCache>
            </c:strRef>
          </c:tx>
          <c:spPr>
            <a:ln w="50800">
              <a:solidFill>
                <a:srgbClr val="FF0000"/>
              </a:solidFill>
              <a:prstDash val="solid"/>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Retention'!$B$45:$AW$45</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8"/>
          <c:order val="6"/>
          <c:tx>
            <c:strRef>
              <c:f>'Werte Berechnung Retention'!$A$46</c:f>
              <c:strCache>
                <c:ptCount val="1"/>
                <c:pt idx="0">
                  <c:v>Regenkurve Aargau Z = 10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Retention'!$B$46:$AW$46</c:f>
            </c:numRef>
          </c:val>
          <c:smooth val="0"/>
        </c:ser>
        <c:ser>
          <c:idx val="9"/>
          <c:order val="7"/>
          <c:tx>
            <c:strRef>
              <c:f>'Werte Berechnung Retention'!$A$47</c:f>
              <c:strCache>
                <c:ptCount val="1"/>
                <c:pt idx="0">
                  <c:v> SN 640 350 T = 10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Retention'!$B$47:$AW$47</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0"/>
          <c:order val="8"/>
          <c:tx>
            <c:strRef>
              <c:f>'Werte Berechnung Retention'!$A$48</c:f>
              <c:strCache>
                <c:ptCount val="1"/>
                <c:pt idx="0">
                  <c:v>Regenkurve Aargau Z = 20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Retention'!$B$48:$AW$48</c:f>
            </c:numRef>
          </c:val>
          <c:smooth val="0"/>
        </c:ser>
        <c:ser>
          <c:idx val="11"/>
          <c:order val="9"/>
          <c:tx>
            <c:strRef>
              <c:f>'Werte Berechnung Retention'!$A$49</c:f>
              <c:strCache>
                <c:ptCount val="1"/>
                <c:pt idx="0">
                  <c:v> SN 640 350 T = 20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Retention'!$B$49:$AW$49</c:f>
              <c:numCache>
                <c:formatCode>_ * #,##0.000_ ;_ * \-#,##0.000_ ;_ * "-"??_ ;_ @_ </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2"/>
          <c:order val="10"/>
          <c:tx>
            <c:strRef>
              <c:f>'Werte Berechnung Retention'!$A$50</c:f>
              <c:strCache>
                <c:ptCount val="1"/>
                <c:pt idx="0">
                  <c:v>Regenkurve Aargau Z = 30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Retention'!$B$50:$AW$50</c:f>
            </c:numRef>
          </c:val>
          <c:smooth val="0"/>
        </c:ser>
        <c:ser>
          <c:idx val="13"/>
          <c:order val="11"/>
          <c:tx>
            <c:strRef>
              <c:f>'Werte Berechnung Retention'!$A$51</c:f>
              <c:strCache>
                <c:ptCount val="1"/>
                <c:pt idx="0">
                  <c:v>Regenkurve Aargau Z = 50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Retention'!$B$51:$AW$51</c:f>
            </c:numRef>
          </c:val>
          <c:smooth val="0"/>
        </c:ser>
        <c:ser>
          <c:idx val="14"/>
          <c:order val="12"/>
          <c:tx>
            <c:strRef>
              <c:f>'Werte Berechnung Retention'!$A$52</c:f>
              <c:strCache>
                <c:ptCount val="1"/>
                <c:pt idx="0">
                  <c:v>Regenkurve Aargau Z = 100</c:v>
                </c:pt>
              </c:strCache>
            </c:strRef>
          </c:tx>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Retention'!$B$52:$AW$52</c:f>
            </c:numRef>
          </c:val>
          <c:smooth val="0"/>
        </c:ser>
        <c:ser>
          <c:idx val="15"/>
          <c:order val="13"/>
          <c:tx>
            <c:strRef>
              <c:f>'Werte Berechnung Retention'!$A$53</c:f>
              <c:strCache>
                <c:ptCount val="1"/>
                <c:pt idx="0">
                  <c:v>Gleichmässiger Abfluss (Q Wiesland)</c:v>
                </c:pt>
              </c:strCache>
            </c:strRef>
          </c:tx>
          <c:spPr>
            <a:ln>
              <a:solidFill>
                <a:srgbClr val="00FF00"/>
              </a:solidFill>
              <a:prstDash val="lgDashDotDot"/>
            </a:ln>
          </c:spPr>
          <c:marker>
            <c:symbol val="none"/>
          </c:marker>
          <c:cat>
            <c:numRef>
              <c:f>'Werte Berechnung Retention'!$B$38:$AW$38</c:f>
              <c:numCache>
                <c:formatCode>General</c:formatCode>
                <c:ptCount val="48"/>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pt idx="20">
                  <c:v>105</c:v>
                </c:pt>
                <c:pt idx="21">
                  <c:v>110</c:v>
                </c:pt>
                <c:pt idx="22">
                  <c:v>115</c:v>
                </c:pt>
                <c:pt idx="23">
                  <c:v>120</c:v>
                </c:pt>
                <c:pt idx="24">
                  <c:v>125</c:v>
                </c:pt>
                <c:pt idx="25">
                  <c:v>130</c:v>
                </c:pt>
                <c:pt idx="26">
                  <c:v>135</c:v>
                </c:pt>
                <c:pt idx="27">
                  <c:v>140</c:v>
                </c:pt>
                <c:pt idx="28">
                  <c:v>145</c:v>
                </c:pt>
                <c:pt idx="29">
                  <c:v>150</c:v>
                </c:pt>
                <c:pt idx="30">
                  <c:v>155</c:v>
                </c:pt>
                <c:pt idx="31">
                  <c:v>160</c:v>
                </c:pt>
                <c:pt idx="32">
                  <c:v>165</c:v>
                </c:pt>
                <c:pt idx="33">
                  <c:v>170</c:v>
                </c:pt>
                <c:pt idx="34">
                  <c:v>175</c:v>
                </c:pt>
                <c:pt idx="35">
                  <c:v>180</c:v>
                </c:pt>
                <c:pt idx="36">
                  <c:v>185</c:v>
                </c:pt>
                <c:pt idx="37">
                  <c:v>190</c:v>
                </c:pt>
                <c:pt idx="38">
                  <c:v>195</c:v>
                </c:pt>
                <c:pt idx="39">
                  <c:v>200</c:v>
                </c:pt>
                <c:pt idx="40">
                  <c:v>205</c:v>
                </c:pt>
                <c:pt idx="41">
                  <c:v>210</c:v>
                </c:pt>
                <c:pt idx="42">
                  <c:v>215</c:v>
                </c:pt>
                <c:pt idx="43">
                  <c:v>220</c:v>
                </c:pt>
                <c:pt idx="44">
                  <c:v>225</c:v>
                </c:pt>
                <c:pt idx="45">
                  <c:v>230</c:v>
                </c:pt>
                <c:pt idx="46">
                  <c:v>235</c:v>
                </c:pt>
                <c:pt idx="47">
                  <c:v>240</c:v>
                </c:pt>
              </c:numCache>
            </c:numRef>
          </c:cat>
          <c:val>
            <c:numRef>
              <c:f>'Werte Berechnung Retention'!$B$53:$AW$53</c:f>
              <c:numCache>
                <c:formatCode>_(* #,##0.00_);_(* \(#,##0.00\);_(*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dropLines/>
        <c:marker val="1"/>
        <c:smooth val="0"/>
        <c:axId val="213259008"/>
        <c:axId val="213260928"/>
      </c:lineChart>
      <c:catAx>
        <c:axId val="213259008"/>
        <c:scaling>
          <c:orientation val="minMax"/>
        </c:scaling>
        <c:delete val="0"/>
        <c:axPos val="b"/>
        <c:title>
          <c:tx>
            <c:rich>
              <a:bodyPr/>
              <a:lstStyle/>
              <a:p>
                <a:pPr>
                  <a:defRPr/>
                </a:pPr>
                <a:r>
                  <a:rPr lang="de-DE"/>
                  <a:t>Zeit in</a:t>
                </a:r>
                <a:r>
                  <a:rPr lang="de-DE" baseline="0"/>
                  <a:t> Minuten</a:t>
                </a:r>
                <a:endParaRPr lang="de-DE"/>
              </a:p>
            </c:rich>
          </c:tx>
          <c:overlay val="0"/>
        </c:title>
        <c:numFmt formatCode="0" sourceLinked="0"/>
        <c:majorTickMark val="none"/>
        <c:minorTickMark val="none"/>
        <c:tickLblPos val="low"/>
        <c:txPr>
          <a:bodyPr rot="5400000"/>
          <a:lstStyle/>
          <a:p>
            <a:pPr>
              <a:defRPr/>
            </a:pPr>
            <a:endParaRPr lang="de-DE"/>
          </a:p>
        </c:txPr>
        <c:crossAx val="213260928"/>
        <c:crosses val="autoZero"/>
        <c:auto val="1"/>
        <c:lblAlgn val="ctr"/>
        <c:lblOffset val="1000"/>
        <c:tickMarkSkip val="5"/>
        <c:noMultiLvlLbl val="1"/>
      </c:catAx>
      <c:valAx>
        <c:axId val="213260928"/>
        <c:scaling>
          <c:orientation val="minMax"/>
        </c:scaling>
        <c:delete val="0"/>
        <c:axPos val="l"/>
        <c:majorGridlines/>
        <c:title>
          <c:tx>
            <c:rich>
              <a:bodyPr/>
              <a:lstStyle/>
              <a:p>
                <a:pPr>
                  <a:defRPr/>
                </a:pPr>
                <a:r>
                  <a:rPr lang="de-DE" baseline="0"/>
                  <a:t>Meteorwasseranfall  Bauprojekt in m3</a:t>
                </a:r>
                <a:endParaRPr lang="de-DE"/>
              </a:p>
            </c:rich>
          </c:tx>
          <c:overlay val="0"/>
        </c:title>
        <c:numFmt formatCode="_ * #,##0.000_ ;_ * \-#,##0.000_ ;_ * &quot;-&quot;??_ ;_ @_ " sourceLinked="1"/>
        <c:majorTickMark val="out"/>
        <c:minorTickMark val="none"/>
        <c:tickLblPos val="nextTo"/>
        <c:crossAx val="213259008"/>
        <c:crossesAt val="1"/>
        <c:crossBetween val="between"/>
      </c:valAx>
      <c:spPr>
        <a:noFill/>
        <a:ln w="25400">
          <a:noFill/>
        </a:ln>
      </c:spPr>
    </c:plotArea>
    <c:legend>
      <c:legendPos val="r"/>
      <c:layout>
        <c:manualLayout>
          <c:xMode val="edge"/>
          <c:yMode val="edge"/>
          <c:x val="0.80757072604147262"/>
          <c:y val="0.19719029663147336"/>
          <c:w val="0.18006447225533687"/>
          <c:h val="0.4041153846153846"/>
        </c:manualLayout>
      </c:layout>
      <c:overlay val="0"/>
    </c:legend>
    <c:plotVisOnly val="1"/>
    <c:dispBlanksAs val="span"/>
    <c:showDLblsOverMax val="0"/>
  </c:chart>
  <c:printSettings>
    <c:headerFooter/>
    <c:pageMargins b="0.78740157499999996" l="0.70000000000000062" r="0.70000000000000062" t="0.78740157499999996" header="0.30000000000000032" footer="0.30000000000000032"/>
    <c:pageSetup paperSize="8"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emf"/><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54428</xdr:colOff>
      <xdr:row>38</xdr:row>
      <xdr:rowOff>176893</xdr:rowOff>
    </xdr:from>
    <xdr:to>
      <xdr:col>17</xdr:col>
      <xdr:colOff>830035</xdr:colOff>
      <xdr:row>109</xdr:row>
      <xdr:rowOff>122465</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13607</xdr:colOff>
      <xdr:row>0</xdr:row>
      <xdr:rowOff>3</xdr:rowOff>
    </xdr:from>
    <xdr:to>
      <xdr:col>16</xdr:col>
      <xdr:colOff>343450</xdr:colOff>
      <xdr:row>4</xdr:row>
      <xdr:rowOff>120072</xdr:rowOff>
    </xdr:to>
    <xdr:pic>
      <xdr:nvPicPr>
        <xdr:cNvPr id="5" name="Grafik 4"/>
        <xdr:cNvPicPr>
          <a:picLocks noChangeAspect="1"/>
        </xdr:cNvPicPr>
      </xdr:nvPicPr>
      <xdr:blipFill>
        <a:blip xmlns:r="http://schemas.openxmlformats.org/officeDocument/2006/relationships" r:embed="rId2" cstate="print"/>
        <a:stretch>
          <a:fillRect/>
        </a:stretch>
      </xdr:blipFill>
      <xdr:spPr>
        <a:xfrm>
          <a:off x="9552214" y="3"/>
          <a:ext cx="4085415" cy="15079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142875</xdr:colOff>
      <xdr:row>12</xdr:row>
      <xdr:rowOff>15875</xdr:rowOff>
    </xdr:from>
    <xdr:to>
      <xdr:col>14</xdr:col>
      <xdr:colOff>698501</xdr:colOff>
      <xdr:row>35</xdr:row>
      <xdr:rowOff>9525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152399</xdr:rowOff>
    </xdr:from>
    <xdr:to>
      <xdr:col>11</xdr:col>
      <xdr:colOff>698127</xdr:colOff>
      <xdr:row>105</xdr:row>
      <xdr:rowOff>107399</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19048</xdr:colOff>
      <xdr:row>0</xdr:row>
      <xdr:rowOff>28575</xdr:rowOff>
    </xdr:from>
    <xdr:to>
      <xdr:col>0</xdr:col>
      <xdr:colOff>7048500</xdr:colOff>
      <xdr:row>60</xdr:row>
      <xdr:rowOff>171450</xdr:rowOff>
    </xdr:to>
    <xdr:sp macro="" textlink="">
      <xdr:nvSpPr>
        <xdr:cNvPr id="5" name="Textfeld 4"/>
        <xdr:cNvSpPr txBox="1"/>
      </xdr:nvSpPr>
      <xdr:spPr>
        <a:xfrm>
          <a:off x="19048" y="28575"/>
          <a:ext cx="7029452" cy="1157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fontAlgn="t"/>
          <a:r>
            <a:rPr lang="de-CH" sz="2000" b="1" i="0" u="none" strike="noStrike">
              <a:solidFill>
                <a:schemeClr val="dk1"/>
              </a:solidFill>
              <a:effectLst/>
              <a:latin typeface="Frutiger LT Std 45 Light" pitchFamily="34" charset="0"/>
              <a:ea typeface="+mn-ea"/>
              <a:cs typeface="+mn-cs"/>
            </a:rPr>
            <a:t>Regenwasser-Retention:</a:t>
          </a:r>
          <a:r>
            <a:rPr lang="de-CH" sz="2000">
              <a:latin typeface="Frutiger LT Std 45 Light" pitchFamily="34" charset="0"/>
            </a:rPr>
            <a:t> </a:t>
          </a:r>
        </a:p>
        <a:p>
          <a:pPr fontAlgn="t"/>
          <a:endParaRPr lang="de-CH" sz="1100" b="1" i="0" u="none" strike="noStrike">
            <a:solidFill>
              <a:schemeClr val="dk1"/>
            </a:solidFill>
            <a:effectLst/>
            <a:latin typeface="Frutiger LT Std 45 Light" pitchFamily="34" charset="0"/>
            <a:ea typeface="+mn-ea"/>
            <a:cs typeface="+mn-cs"/>
          </a:endParaRPr>
        </a:p>
        <a:p>
          <a:pPr fontAlgn="t"/>
          <a:r>
            <a:rPr lang="de-CH" sz="1100" b="1" i="0" u="none" strike="noStrike">
              <a:solidFill>
                <a:schemeClr val="dk1"/>
              </a:solidFill>
              <a:effectLst/>
              <a:latin typeface="Frutiger LT Std 45 Light" pitchFamily="34" charset="0"/>
              <a:ea typeface="+mn-ea"/>
              <a:cs typeface="+mn-cs"/>
            </a:rPr>
            <a:t>Dimensionierungswerkzeug für Planer in der Gemeinde Meisterschwanden</a:t>
          </a:r>
          <a:r>
            <a:rPr lang="de-CH">
              <a:latin typeface="Frutiger LT Std 45 Light" pitchFamily="34" charset="0"/>
            </a:rPr>
            <a:t> </a:t>
          </a:r>
        </a:p>
        <a:p>
          <a:pPr fontAlgn="t"/>
          <a:endParaRPr lang="de-CH" sz="1100" b="1" i="0" u="none" strike="noStrike">
            <a:solidFill>
              <a:schemeClr val="dk1"/>
            </a:solidFill>
            <a:effectLst/>
            <a:latin typeface="Frutiger LT Std 45 Light" pitchFamily="34" charset="0"/>
            <a:ea typeface="+mn-ea"/>
            <a:cs typeface="+mn-cs"/>
          </a:endParaRPr>
        </a:p>
        <a:p>
          <a:pPr fontAlgn="t"/>
          <a:r>
            <a:rPr lang="de-CH" sz="1100" b="1" i="0" u="none" strike="noStrike">
              <a:solidFill>
                <a:schemeClr val="dk1"/>
              </a:solidFill>
              <a:effectLst/>
              <a:latin typeface="Frutiger LT Std 45 Light" pitchFamily="34" charset="0"/>
              <a:ea typeface="+mn-ea"/>
              <a:cs typeface="+mn-cs"/>
            </a:rPr>
            <a:t>Zweck:</a:t>
          </a:r>
        </a:p>
        <a:p>
          <a:pPr fontAlgn="t"/>
          <a:r>
            <a:rPr lang="de-CH" sz="1100" b="0" i="0" u="none" strike="noStrike">
              <a:solidFill>
                <a:schemeClr val="dk1"/>
              </a:solidFill>
              <a:effectLst/>
              <a:latin typeface="Frutiger LT Std 45 Light" pitchFamily="34" charset="0"/>
              <a:ea typeface="+mn-ea"/>
              <a:cs typeface="+mn-cs"/>
            </a:rPr>
            <a:t>Hilfsmittel für Planer und Bauherren für die Berechnung der notwendigen Retentions-Anlagedaten bei Neubauvorhaben oder grösseren Umbauten mit Auswirkungen auf das Regenabwasser.</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Kontrollinstrument für die Bauverwaltung zur Überprüfung der Baugesuchsangaben zur Retention.</a:t>
          </a:r>
          <a:r>
            <a:rPr lang="de-CH">
              <a:latin typeface="Frutiger LT Std 45 Light" pitchFamily="34" charset="0"/>
            </a:rPr>
            <a:t> </a:t>
          </a:r>
        </a:p>
        <a:p>
          <a:pPr fontAlgn="t"/>
          <a:endParaRPr lang="de-CH" sz="1100" b="1" i="0" u="none" strike="noStrike">
            <a:solidFill>
              <a:schemeClr val="dk1"/>
            </a:solidFill>
            <a:effectLst/>
            <a:latin typeface="Frutiger LT Std 45 Light" pitchFamily="34" charset="0"/>
            <a:ea typeface="+mn-ea"/>
            <a:cs typeface="+mn-cs"/>
          </a:endParaRPr>
        </a:p>
        <a:p>
          <a:pPr fontAlgn="t"/>
          <a:r>
            <a:rPr lang="de-CH" sz="1100" b="1" i="0" u="none" strike="noStrike">
              <a:solidFill>
                <a:schemeClr val="dk1"/>
              </a:solidFill>
              <a:effectLst/>
              <a:latin typeface="Frutiger LT Std 45 Light" pitchFamily="34" charset="0"/>
              <a:ea typeface="+mn-ea"/>
              <a:cs typeface="+mn-cs"/>
            </a:rPr>
            <a:t>Gesetzliche Grundlage:</a:t>
          </a:r>
          <a:r>
            <a:rPr lang="de-CH">
              <a:latin typeface="Frutiger LT Std 45 Light" pitchFamily="34" charset="0"/>
            </a:rPr>
            <a:t> </a:t>
          </a:r>
        </a:p>
        <a:p>
          <a:pPr fontAlgn="t"/>
          <a:r>
            <a:rPr lang="de-CH" sz="1100" b="0" i="0" u="none" strike="noStrike">
              <a:solidFill>
                <a:schemeClr val="dk1"/>
              </a:solidFill>
              <a:effectLst/>
              <a:latin typeface="Frutiger LT Std 45 Light" pitchFamily="34" charset="0"/>
              <a:ea typeface="+mn-ea"/>
              <a:cs typeface="+mn-cs"/>
            </a:rPr>
            <a:t>Nicht verschmutztes Abwasser ist versickern zu lassen. Erlauben die örtlichen Verhältnisse dies nicht, so kann</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es mit Bewilligung der Behörde in ein oberirdisches Gewässer eingeleitet werden. Dabei sind nach Möglichkeit</a:t>
          </a:r>
          <a:r>
            <a:rPr lang="de-CH" sz="1100" b="0" i="0" u="none" strike="noStrike" baseline="0">
              <a:solidFill>
                <a:schemeClr val="dk1"/>
              </a:solidFill>
              <a:effectLst/>
              <a:latin typeface="Frutiger LT Std 45 Light" pitchFamily="34" charset="0"/>
              <a:ea typeface="+mn-ea"/>
              <a:cs typeface="+mn-cs"/>
            </a:rPr>
            <a:t> </a:t>
          </a:r>
          <a:r>
            <a:rPr lang="de-CH" sz="1100" b="0" i="0" u="none" strike="noStrike">
              <a:solidFill>
                <a:schemeClr val="dk1"/>
              </a:solidFill>
              <a:effectLst/>
              <a:latin typeface="Frutiger LT Std 45 Light" pitchFamily="34" charset="0"/>
              <a:ea typeface="+mn-ea"/>
              <a:cs typeface="+mn-cs"/>
            </a:rPr>
            <a:t>Rückhaltemassnahmen zu treffen, damit das Wasser bei grossem Anfall gleichmässig abfliessen kann (Art. 7</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Abs. 2 eidg. Gewässerschutzgesetz; SR 814.20).</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Für die Abklärung, ob eine Retention erforderlich ist, sowie die Bemessung von Retentionsanlagen gilt im Kanton</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Aargau die Richtlinie Regenwasserentsorgung des Verbandes Schweizer Abwasser- und</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Gewässerschutzfachleute (VSA), Ausgabe 2002.</a:t>
          </a:r>
          <a:endParaRPr lang="de-CH">
            <a:latin typeface="Frutiger LT Std 45 Light" pitchFamily="34" charset="0"/>
          </a:endParaRPr>
        </a:p>
        <a:p>
          <a:pPr fontAlgn="t"/>
          <a:endParaRPr lang="de-CH" sz="1100" b="1" i="0">
            <a:solidFill>
              <a:schemeClr val="dk1"/>
            </a:solidFill>
            <a:latin typeface="+mn-lt"/>
            <a:ea typeface="+mn-ea"/>
            <a:cs typeface="+mn-cs"/>
          </a:endParaRPr>
        </a:p>
        <a:p>
          <a:pPr marL="0" indent="0" fontAlgn="t"/>
          <a:r>
            <a:rPr lang="de-CH" sz="1100" b="1" i="0" u="none" strike="noStrike">
              <a:solidFill>
                <a:schemeClr val="dk1"/>
              </a:solidFill>
              <a:effectLst/>
              <a:latin typeface="Frutiger LT Std 45 Light" pitchFamily="34" charset="0"/>
              <a:ea typeface="+mn-ea"/>
              <a:cs typeface="+mn-cs"/>
            </a:rPr>
            <a:t>Notwendigkeit: </a:t>
          </a:r>
          <a:endParaRPr lang="de-DE" sz="1100" b="1" i="0" u="none" strike="noStrike">
            <a:solidFill>
              <a:schemeClr val="dk1"/>
            </a:solidFill>
            <a:effectLst/>
            <a:latin typeface="Frutiger LT Std 45 Light" pitchFamily="34" charset="0"/>
            <a:ea typeface="+mn-ea"/>
            <a:cs typeface="+mn-cs"/>
          </a:endParaRPr>
        </a:p>
        <a:p>
          <a:pPr marL="0" indent="0" fontAlgn="t"/>
          <a:r>
            <a:rPr lang="de-CH" sz="1100" b="0" i="0" u="none" strike="noStrike">
              <a:solidFill>
                <a:schemeClr val="dk1"/>
              </a:solidFill>
              <a:effectLst/>
              <a:latin typeface="Frutiger LT Std 45 Light" pitchFamily="34" charset="0"/>
              <a:ea typeface="+mn-ea"/>
              <a:cs typeface="+mn-cs"/>
            </a:rPr>
            <a:t>Gemäss GEP ist das gesamte Gemeindegebiet von Meisterschwanden nicht sickerfähig, weshalb das Gemeindegbiet in den letzten Jahren im Trennsystem erschlossen wurde. Aufgrund des Trennsystems wird das Meteorwasser der einzelnen Einzugsgebiete in den Dorfbach eingeleitet. Die Abflussmenge im Dorfbach betrug zwischen 1995 und 2015 0.03m3/sec (Q 347 Niederwasser).  Quelle: </a:t>
          </a:r>
          <a:r>
            <a:rPr lang="de-CH" sz="1100" b="0" i="0" u="none" strike="noStrike">
              <a:solidFill>
                <a:srgbClr val="0033CC"/>
              </a:solidFill>
              <a:effectLst/>
              <a:latin typeface="Frutiger LT Std 45 Light" pitchFamily="34" charset="0"/>
              <a:ea typeface="+mn-ea"/>
              <a:cs typeface="+mn-cs"/>
            </a:rPr>
            <a:t>http://hydroftp.ag.ch/hydrometrie/stats/FG/Q-Stats_FG_0395.pdf</a:t>
          </a:r>
          <a:r>
            <a:rPr lang="de-CH" sz="1100" b="0" i="0" u="none" strike="noStrike">
              <a:solidFill>
                <a:schemeClr val="dk1"/>
              </a:solidFill>
              <a:effectLst/>
              <a:latin typeface="Frutiger LT Std 45 Light" pitchFamily="34" charset="0"/>
              <a:ea typeface="+mn-ea"/>
              <a:cs typeface="+mn-cs"/>
            </a:rPr>
            <a:t>. Der Dorfbach ist somit als kleiner Mittellandbach zu werten. Die Berechnung des vorliegenden Formulars basiert in vereinfachter Form auf der Berechnungsgrundlage des Kantons. Für die Bemessung des Stauvolumens hat der Gemeinderat beschlossen, das 5-jährige Regenereignis zu berücksichtigen. Aufgrund dieser Voraussetzung ist das Regenwasser der Einzugsgebiete  vor dem Einlass in den Vorfilter über eine Retention zu führen.</a:t>
          </a:r>
        </a:p>
        <a:p>
          <a:pPr fontAlgn="t"/>
          <a:endParaRPr lang="de-CH">
            <a:latin typeface="Frutiger LT Std 45 Light" pitchFamily="34" charset="0"/>
          </a:endParaRPr>
        </a:p>
        <a:p>
          <a:pPr fontAlgn="t"/>
          <a:r>
            <a:rPr lang="de-CH" b="1">
              <a:latin typeface="Frutiger LT Std 45 Light" pitchFamily="34" charset="0"/>
            </a:rPr>
            <a:t>Spezialfall</a:t>
          </a:r>
          <a:r>
            <a:rPr lang="de-CH" b="1" baseline="0">
              <a:latin typeface="Frutiger LT Std 45 Light" pitchFamily="34" charset="0"/>
            </a:rPr>
            <a:t> Kanton Aargau:</a:t>
          </a:r>
          <a:endParaRPr lang="de-CH" b="1">
            <a:latin typeface="Frutiger LT Std 45 Light" pitchFamily="34" charset="0"/>
          </a:endParaRPr>
        </a:p>
        <a:p>
          <a:pPr fontAlgn="t"/>
          <a:r>
            <a:rPr lang="de-CH">
              <a:latin typeface="Frutiger LT Std 45 Light" pitchFamily="34" charset="0"/>
            </a:rPr>
            <a:t>Speziell zu beachten ist</a:t>
          </a:r>
          <a:r>
            <a:rPr lang="de-CH" baseline="0">
              <a:latin typeface="Frutiger LT Std 45 Light" pitchFamily="34" charset="0"/>
            </a:rPr>
            <a:t> im Kanton Aargau, </a:t>
          </a:r>
          <a:r>
            <a:rPr lang="de-CH">
              <a:latin typeface="Frutiger LT Std 45 Light" pitchFamily="34" charset="0"/>
            </a:rPr>
            <a:t>dass Regenwasser von Strassen und Plätzen innerhalb Baugebiet  und generell im Bereich von Liegenschaften entgegen der VSA - Richtlinie weiterhin nicht direkt in oberirdische Gewässer eingeleitet werden darf. Somit</a:t>
          </a:r>
          <a:r>
            <a:rPr lang="de-CH" baseline="0">
              <a:latin typeface="Frutiger LT Std 45 Light" pitchFamily="34" charset="0"/>
            </a:rPr>
            <a:t> ist in der Berechnung lediglich die effektiv beregnete Dachfläche (inkl. allfälligen Überschneidungen mit Dachvorsprung) zu berücksichitigen. Allfällige befestigte Vorplätze sind ohne Retention  in die Kanalisation abzuleiten sofern sie weder versickert noch über die Schulter entwässert werden können. Begehbare Balkonflächen sind über einen Speier zu entwässern oder an die Kanalisation anzuschliessen. Sie müssen daher in der Berechnung ebenfalls nicht berücksichtigt werden.</a:t>
          </a:r>
        </a:p>
        <a:p>
          <a:pPr fontAlgn="t"/>
          <a:endParaRPr lang="de-CH" sz="1100" b="1" i="0" u="none" strike="noStrike">
            <a:solidFill>
              <a:schemeClr val="dk1"/>
            </a:solidFill>
            <a:effectLst/>
            <a:latin typeface="Frutiger LT Std 45 Light" pitchFamily="34" charset="0"/>
            <a:ea typeface="+mn-ea"/>
            <a:cs typeface="+mn-cs"/>
          </a:endParaRPr>
        </a:p>
        <a:p>
          <a:pPr fontAlgn="t"/>
          <a:r>
            <a:rPr lang="de-CH" sz="1100" b="1" i="0" u="none" strike="noStrike">
              <a:solidFill>
                <a:schemeClr val="dk1"/>
              </a:solidFill>
              <a:effectLst/>
              <a:latin typeface="Frutiger LT Std 45 Light" pitchFamily="34" charset="0"/>
              <a:ea typeface="+mn-ea"/>
              <a:cs typeface="+mn-cs"/>
            </a:rPr>
            <a:t>Regelung der Retentionspflicht in Meisterschwanden:</a:t>
          </a:r>
          <a:r>
            <a:rPr lang="de-CH">
              <a:latin typeface="Frutiger LT Std 45 Light" pitchFamily="34" charset="0"/>
            </a:rPr>
            <a:t> </a:t>
          </a:r>
        </a:p>
        <a:p>
          <a:pPr fontAlgn="t"/>
          <a:r>
            <a:rPr lang="de-CH" sz="1100" b="0" i="0" u="none" strike="noStrike">
              <a:solidFill>
                <a:schemeClr val="dk1"/>
              </a:solidFill>
              <a:effectLst/>
              <a:latin typeface="Frutiger LT Std 45 Light" pitchFamily="34" charset="0"/>
              <a:ea typeface="+mn-ea"/>
              <a:cs typeface="+mn-cs"/>
            </a:rPr>
            <a:t>Da entlang des Dorfbaches und im Baugebiet keine Möglichkeiten von Retentionsbecken bestehen,</a:t>
          </a:r>
          <a:r>
            <a:rPr lang="de-CH" sz="1100" b="0" i="0" u="none" strike="noStrike" baseline="0">
              <a:solidFill>
                <a:schemeClr val="dk1"/>
              </a:solidFill>
              <a:effectLst/>
              <a:latin typeface="Frutiger LT Std 45 Light" pitchFamily="34" charset="0"/>
              <a:ea typeface="+mn-ea"/>
              <a:cs typeface="+mn-cs"/>
            </a:rPr>
            <a:t> </a:t>
          </a:r>
          <a:r>
            <a:rPr lang="de-CH" sz="1100" b="0" i="0" u="none" strike="noStrike">
              <a:solidFill>
                <a:schemeClr val="dk1"/>
              </a:solidFill>
              <a:effectLst/>
              <a:latin typeface="Frutiger LT Std 45 Light" pitchFamily="34" charset="0"/>
              <a:ea typeface="+mn-ea"/>
              <a:cs typeface="+mn-cs"/>
            </a:rPr>
            <a:t>hat der </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Gemeinderat beschlossen, die Retentionspflicht auf die einzelnen Grundeigentümer zu übertragen. Die</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Grundeigentümer haben die Möglichkeit, die Volumen der Retention mit ihrem Bauprojekt massgebend zu</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beeinflussen. Aufgrund der Gleichbehandlung sind in Meisterschschwanden alle Bauprojekte im Trennsystem</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mit einer Retention bis an die Parzellengrenze zu projektieren, unabhängig davon, ob ein Gebiet aktuell noch</a:t>
          </a:r>
          <a:r>
            <a:rPr lang="de-CH" sz="1100" b="0" i="0" u="none" strike="noStrike" baseline="0">
              <a:solidFill>
                <a:schemeClr val="dk1"/>
              </a:solidFill>
              <a:effectLst/>
              <a:latin typeface="Frutiger LT Std 45 Light" pitchFamily="34" charset="0"/>
              <a:ea typeface="+mn-ea"/>
              <a:cs typeface="+mn-cs"/>
            </a:rPr>
            <a:t> </a:t>
          </a:r>
          <a:r>
            <a:rPr lang="de-CH" sz="1100" b="0" i="0" u="none" strike="noStrike">
              <a:solidFill>
                <a:schemeClr val="dk1"/>
              </a:solidFill>
              <a:effectLst/>
              <a:latin typeface="Frutiger LT Std 45 Light" pitchFamily="34" charset="0"/>
              <a:ea typeface="+mn-ea"/>
              <a:cs typeface="+mn-cs"/>
            </a:rPr>
            <a:t>nicht im Trennsystem erschlossen wurde.</a:t>
          </a:r>
          <a:r>
            <a:rPr lang="de-CH">
              <a:latin typeface="Frutiger LT Std 45 Light" pitchFamily="34" charset="0"/>
            </a:rPr>
            <a:t> </a:t>
          </a:r>
          <a:r>
            <a:rPr lang="de-CH" sz="1100" b="0" i="0" u="none" strike="noStrike">
              <a:solidFill>
                <a:schemeClr val="dk1"/>
              </a:solidFill>
              <a:effectLst/>
              <a:latin typeface="Frutiger LT Std 45 Light" pitchFamily="34" charset="0"/>
              <a:ea typeface="+mn-ea"/>
              <a:cs typeface="+mn-cs"/>
            </a:rPr>
            <a:t>Analog der Beurteilung von Abwasseranlagen gilt:</a:t>
          </a:r>
        </a:p>
        <a:p>
          <a:pPr fontAlgn="t"/>
          <a:r>
            <a:rPr lang="de-CH" sz="1100" b="0" i="0" u="none" strike="noStrike">
              <a:solidFill>
                <a:schemeClr val="dk1"/>
              </a:solidFill>
              <a:effectLst/>
              <a:latin typeface="Frutiger LT Std 45 Light" pitchFamily="34" charset="0"/>
              <a:ea typeface="+mn-ea"/>
              <a:cs typeface="+mn-cs"/>
            </a:rPr>
            <a:t>Die Retention der  Abwasseranlagen ist bei einem Baugesuch zu überprüfen, wenn;  </a:t>
          </a:r>
          <a:br>
            <a:rPr lang="de-CH" sz="1100" b="0" i="0" u="none" strike="noStrike">
              <a:solidFill>
                <a:schemeClr val="dk1"/>
              </a:solidFill>
              <a:effectLst/>
              <a:latin typeface="Frutiger LT Std 45 Light" pitchFamily="34" charset="0"/>
              <a:ea typeface="+mn-ea"/>
              <a:cs typeface="+mn-cs"/>
            </a:rPr>
          </a:br>
          <a:endParaRPr lang="de-CH" sz="1100" b="0" i="0" u="none" strike="noStrike">
            <a:solidFill>
              <a:schemeClr val="dk1"/>
            </a:solidFill>
            <a:effectLst/>
            <a:latin typeface="Frutiger LT Std 45 Light" pitchFamily="34" charset="0"/>
            <a:ea typeface="+mn-ea"/>
            <a:cs typeface="+mn-cs"/>
          </a:endParaRPr>
        </a:p>
        <a:p>
          <a:pPr fontAlgn="t"/>
          <a:r>
            <a:rPr lang="de-CH" sz="1100" b="0" i="0" u="none" strike="noStrike">
              <a:solidFill>
                <a:schemeClr val="dk1"/>
              </a:solidFill>
              <a:effectLst/>
              <a:latin typeface="Frutiger LT Std 45 Light" pitchFamily="34" charset="0"/>
              <a:ea typeface="+mn-ea"/>
              <a:cs typeface="+mn-cs"/>
            </a:rPr>
            <a:t>das Baugesuch einen Einfluss auf die Liegenschaftsentwässerung hat (Änderungen an der Liegenschaftsentwässerung,    Erweiterung der zu entwässernden Flächen, Änderung der Abwassermenge und/oder -art usw.);</a:t>
          </a:r>
          <a:br>
            <a:rPr lang="de-CH" sz="1100" b="0" i="0" u="none" strike="noStrike">
              <a:solidFill>
                <a:schemeClr val="dk1"/>
              </a:solidFill>
              <a:effectLst/>
              <a:latin typeface="Frutiger LT Std 45 Light" pitchFamily="34" charset="0"/>
              <a:ea typeface="+mn-ea"/>
              <a:cs typeface="+mn-cs"/>
            </a:rPr>
          </a:br>
          <a:endParaRPr lang="de-CH" sz="1100" b="0" i="0" u="none" strike="noStrike">
            <a:solidFill>
              <a:schemeClr val="dk1"/>
            </a:solidFill>
            <a:effectLst/>
            <a:latin typeface="Frutiger LT Std 45 Light" pitchFamily="34" charset="0"/>
            <a:ea typeface="+mn-ea"/>
            <a:cs typeface="+mn-cs"/>
          </a:endParaRPr>
        </a:p>
        <a:p>
          <a:pPr fontAlgn="t"/>
          <a:r>
            <a:rPr lang="de-CH" sz="1100" b="0" i="0" u="none" strike="noStrike">
              <a:solidFill>
                <a:schemeClr val="dk1"/>
              </a:solidFill>
              <a:effectLst/>
              <a:latin typeface="Frutiger LT Std 45 Light" pitchFamily="34" charset="0"/>
              <a:ea typeface="+mn-ea"/>
              <a:cs typeface="+mn-cs"/>
            </a:rPr>
            <a:t>wenn die Bausumme mehr als ca. Fr. 100'000.– beträgt, auch wenn die Liegenschaftsentwässerung nicht betroffen ist.</a:t>
          </a:r>
        </a:p>
        <a:p>
          <a:pPr fontAlgn="t"/>
          <a:endParaRPr lang="de-CH" sz="1100" b="0" i="0" u="none" strike="noStrike">
            <a:solidFill>
              <a:schemeClr val="dk1"/>
            </a:solidFill>
            <a:effectLst/>
            <a:latin typeface="Frutiger LT Std 45 Light" pitchFamily="34" charset="0"/>
            <a:ea typeface="+mn-ea"/>
            <a:cs typeface="+mn-cs"/>
          </a:endParaRPr>
        </a:p>
        <a:p>
          <a:pPr fontAlgn="t"/>
          <a:r>
            <a:rPr lang="de-CH" sz="1100" b="0" i="0" u="none" strike="noStrike">
              <a:solidFill>
                <a:schemeClr val="dk1"/>
              </a:solidFill>
              <a:effectLst/>
              <a:latin typeface="Frutiger LT Std 45 Light" pitchFamily="34" charset="0"/>
              <a:ea typeface="+mn-ea"/>
              <a:cs typeface="+mn-cs"/>
            </a:rPr>
            <a:t>Aus Verhältnismässigkeits- und Kostengründen wird auf die Realisierung kleine Retentionsvolumina verzichtet</a:t>
          </a:r>
        </a:p>
        <a:p>
          <a:pPr fontAlgn="t"/>
          <a:r>
            <a:rPr lang="de-CH" sz="1100" b="0" i="0" u="none" strike="noStrike">
              <a:solidFill>
                <a:schemeClr val="dk1"/>
              </a:solidFill>
              <a:effectLst/>
              <a:latin typeface="Frutiger LT Std 45 Light" pitchFamily="34" charset="0"/>
              <a:ea typeface="+mn-ea"/>
              <a:cs typeface="+mn-cs"/>
            </a:rPr>
            <a:t>(Bagatellgrenze: &lt; 1 m3 Retentionsvolumen).</a:t>
          </a:r>
        </a:p>
        <a:p>
          <a:endParaRPr lang="de-CH" sz="1100" b="0" i="0" u="none" strike="noStrike">
            <a:solidFill>
              <a:schemeClr val="dk1"/>
            </a:solidFill>
            <a:effectLst/>
            <a:latin typeface="Frutiger LT Std 45 Light" pitchFamily="34" charset="0"/>
            <a:ea typeface="+mn-ea"/>
            <a:cs typeface="+mn-cs"/>
          </a:endParaRPr>
        </a:p>
        <a:p>
          <a:pPr marL="0" indent="0" fontAlgn="t"/>
          <a:r>
            <a:rPr lang="de-CH" sz="1100" b="1" i="0" u="none" strike="noStrike">
              <a:solidFill>
                <a:schemeClr val="dk1"/>
              </a:solidFill>
              <a:effectLst/>
              <a:latin typeface="Frutiger LT Std 45 Light" pitchFamily="34" charset="0"/>
              <a:ea typeface="+mn-ea"/>
              <a:cs typeface="+mn-cs"/>
            </a:rPr>
            <a:t>Einzureichende</a:t>
          </a:r>
          <a:r>
            <a:rPr lang="de-CH" sz="1100" b="1" i="0" u="none" strike="noStrike" baseline="0">
              <a:solidFill>
                <a:schemeClr val="dk1"/>
              </a:solidFill>
              <a:effectLst/>
              <a:latin typeface="Frutiger LT Std 45 Light" pitchFamily="34" charset="0"/>
              <a:ea typeface="+mn-ea"/>
              <a:cs typeface="+mn-cs"/>
            </a:rPr>
            <a:t> Unterlagen für das</a:t>
          </a:r>
          <a:r>
            <a:rPr lang="de-CH" sz="1100" b="1" i="0" u="none" strike="noStrike">
              <a:solidFill>
                <a:schemeClr val="dk1"/>
              </a:solidFill>
              <a:effectLst/>
              <a:latin typeface="Frutiger LT Std 45 Light" pitchFamily="34" charset="0"/>
              <a:ea typeface="+mn-ea"/>
              <a:cs typeface="+mn-cs"/>
            </a:rPr>
            <a:t> Baugesuch in Meisterschwanden:</a:t>
          </a:r>
        </a:p>
        <a:p>
          <a:pPr marL="0" indent="0" fontAlgn="t"/>
          <a:r>
            <a:rPr lang="de-CH" sz="1100" b="0" i="0" u="none" strike="noStrike">
              <a:solidFill>
                <a:schemeClr val="dk1"/>
              </a:solidFill>
              <a:effectLst/>
              <a:latin typeface="Frutiger LT Std 45 Light" pitchFamily="34" charset="0"/>
              <a:ea typeface="+mn-ea"/>
              <a:cs typeface="+mn-cs"/>
            </a:rPr>
            <a:t>Liegenschaftsentwässerung in Trennsystem bis an die Parzellengrenze mit der notwendigen Retention.</a:t>
          </a:r>
        </a:p>
        <a:p>
          <a:pPr marL="0" indent="0" fontAlgn="t"/>
          <a:r>
            <a:rPr lang="de-CH" sz="1100" b="0" i="0" u="none" strike="noStrike">
              <a:solidFill>
                <a:schemeClr val="dk1"/>
              </a:solidFill>
              <a:effectLst/>
              <a:latin typeface="Frutiger LT Std 45 Light" pitchFamily="34" charset="0"/>
              <a:ea typeface="+mn-ea"/>
              <a:cs typeface="+mn-cs"/>
            </a:rPr>
            <a:t>Auszug sämtlicher Dachflächen</a:t>
          </a:r>
          <a:r>
            <a:rPr lang="de-CH" sz="1100" b="0" i="0" u="none" strike="noStrike" baseline="0">
              <a:solidFill>
                <a:schemeClr val="dk1"/>
              </a:solidFill>
              <a:effectLst/>
              <a:latin typeface="Frutiger LT Std 45 Light" pitchFamily="34" charset="0"/>
              <a:ea typeface="+mn-ea"/>
              <a:cs typeface="+mn-cs"/>
            </a:rPr>
            <a:t> inkl. allfälligen Dachvorsprüngen und Angaben zu den Abflussbeiwerten</a:t>
          </a:r>
        </a:p>
        <a:p>
          <a:pPr marL="0" indent="0" fontAlgn="t"/>
          <a:r>
            <a:rPr lang="de-CH" sz="1100" b="0" i="0" u="none" strike="noStrike">
              <a:solidFill>
                <a:schemeClr val="dk1"/>
              </a:solidFill>
              <a:effectLst/>
              <a:latin typeface="Frutiger LT Std 45 Light" pitchFamily="34" charset="0"/>
              <a:ea typeface="+mn-ea"/>
              <a:cs typeface="+mn-cs"/>
            </a:rPr>
            <a:t>Angaben zur Retentionsart</a:t>
          </a:r>
          <a:r>
            <a:rPr lang="de-CH" sz="1100" b="0" i="0" u="none" strike="noStrike" baseline="0">
              <a:solidFill>
                <a:schemeClr val="dk1"/>
              </a:solidFill>
              <a:effectLst/>
              <a:latin typeface="Frutiger LT Std 45 Light" pitchFamily="34" charset="0"/>
              <a:ea typeface="+mn-ea"/>
              <a:cs typeface="+mn-cs"/>
            </a:rPr>
            <a:t> / Produkt.</a:t>
          </a:r>
        </a:p>
        <a:p>
          <a:pPr marL="0" indent="0" fontAlgn="t"/>
          <a:endParaRPr lang="de-CH" sz="1100" b="0" i="0" u="none" strike="noStrike" baseline="0">
            <a:solidFill>
              <a:schemeClr val="dk1"/>
            </a:solidFill>
            <a:effectLst/>
            <a:latin typeface="Frutiger LT Std 45 Light" pitchFamily="34" charset="0"/>
            <a:ea typeface="+mn-ea"/>
            <a:cs typeface="+mn-cs"/>
          </a:endParaRPr>
        </a:p>
        <a:p>
          <a:pPr marL="0" indent="0" fontAlgn="t"/>
          <a:r>
            <a:rPr lang="de-CH" sz="1100" b="1" i="0" u="none" strike="noStrike" baseline="0">
              <a:solidFill>
                <a:schemeClr val="dk1"/>
              </a:solidFill>
              <a:effectLst/>
              <a:latin typeface="Frutiger LT Std 45 Light" pitchFamily="34" charset="0"/>
              <a:ea typeface="+mn-ea"/>
              <a:cs typeface="+mn-cs"/>
            </a:rPr>
            <a:t>Technische Umsetzung:</a:t>
          </a:r>
        </a:p>
        <a:p>
          <a:pPr marL="0" indent="0" fontAlgn="t"/>
          <a:r>
            <a:rPr lang="de-CH" sz="1100" b="0" i="0" u="none" strike="noStrike" baseline="0">
              <a:solidFill>
                <a:schemeClr val="dk1"/>
              </a:solidFill>
              <a:effectLst/>
              <a:latin typeface="Frutiger LT Std 45 Light" pitchFamily="34" charset="0"/>
              <a:ea typeface="+mn-ea"/>
              <a:cs typeface="+mn-cs"/>
            </a:rPr>
            <a:t>Die Volumenberechnung dient als Grundlage für die Umsetzung.</a:t>
          </a:r>
        </a:p>
        <a:p>
          <a:pPr marL="0" indent="0" fontAlgn="t"/>
          <a:r>
            <a:rPr lang="de-CH" sz="1100" b="0" i="0" u="none" strike="noStrike" baseline="0">
              <a:solidFill>
                <a:schemeClr val="dk1"/>
              </a:solidFill>
              <a:effectLst/>
              <a:latin typeface="Frutiger LT Std 45 Light" pitchFamily="34" charset="0"/>
              <a:ea typeface="+mn-ea"/>
              <a:cs typeface="+mn-cs"/>
            </a:rPr>
            <a:t>Das Blatt „Systemskizzen" macht Vorschläge für die kostengünstige und wartungsfreundliche technische</a:t>
          </a:r>
        </a:p>
        <a:p>
          <a:pPr marL="0" indent="0" fontAlgn="t"/>
          <a:r>
            <a:rPr lang="de-CH" sz="1100" b="0" i="0" u="none" strike="noStrike" baseline="0">
              <a:solidFill>
                <a:schemeClr val="dk1"/>
              </a:solidFill>
              <a:effectLst/>
              <a:latin typeface="Frutiger LT Std 45 Light" pitchFamily="34" charset="0"/>
              <a:ea typeface="+mn-ea"/>
              <a:cs typeface="+mn-cs"/>
            </a:rPr>
            <a:t>Umsetzung der Abflussdrosselung. Anstelle aufwendiger Wirbeldrosseln oder Drossel-Schiebern wird ein von</a:t>
          </a:r>
        </a:p>
        <a:p>
          <a:pPr marL="0" indent="0" fontAlgn="t"/>
          <a:r>
            <a:rPr lang="de-CH" sz="1100" b="0" i="0" u="none" strike="noStrike" baseline="0">
              <a:solidFill>
                <a:schemeClr val="dk1"/>
              </a:solidFill>
              <a:effectLst/>
              <a:latin typeface="Frutiger LT Std 45 Light" pitchFamily="34" charset="0"/>
              <a:ea typeface="+mn-ea"/>
              <a:cs typeface="+mn-cs"/>
            </a:rPr>
            <a:t>jedem Sanitär einfach herzustellendes T-Stück empfohlen. Das getauchte Ende des T-Stücks wird mit einem</a:t>
          </a:r>
        </a:p>
        <a:p>
          <a:pPr marL="0" indent="0" fontAlgn="t"/>
          <a:r>
            <a:rPr lang="de-CH" sz="1100" b="0" i="0" u="none" strike="noStrike" baseline="0">
              <a:solidFill>
                <a:schemeClr val="dk1"/>
              </a:solidFill>
              <a:effectLst/>
              <a:latin typeface="Frutiger LT Std 45 Light" pitchFamily="34" charset="0"/>
              <a:ea typeface="+mn-ea"/>
              <a:cs typeface="+mn-cs"/>
            </a:rPr>
            <a:t>Schraubdeckel (Blende) mit runder Durchflussöffnung verschlossen, das andere Ende dient als Notüberlauf.</a:t>
          </a:r>
        </a:p>
        <a:p>
          <a:pPr marL="0" indent="0" fontAlgn="t"/>
          <a:r>
            <a:rPr lang="de-CH" sz="1100" b="0" i="0" u="none" strike="noStrike" baseline="0">
              <a:solidFill>
                <a:schemeClr val="dk1"/>
              </a:solidFill>
              <a:effectLst/>
              <a:latin typeface="Frutiger LT Std 45 Light" pitchFamily="34" charset="0"/>
              <a:ea typeface="+mn-ea"/>
              <a:cs typeface="+mn-cs"/>
            </a:rPr>
            <a:t>Das Werkzeug gibt dazu auf dem Blatt "Retentionsanlage" die berechnete zulässige Durchflussöffnung an.</a:t>
          </a:r>
        </a:p>
        <a:p>
          <a:pPr marL="0" indent="0" fontAlgn="t"/>
          <a:endParaRPr lang="de-CH" sz="1100" b="0" i="0" u="none" strike="noStrike" baseline="0">
            <a:solidFill>
              <a:schemeClr val="dk1"/>
            </a:solidFill>
            <a:effectLst/>
            <a:latin typeface="Frutiger LT Std 45 Light" pitchFamily="34" charset="0"/>
            <a:ea typeface="+mn-ea"/>
            <a:cs typeface="+mn-cs"/>
          </a:endParaRPr>
        </a:p>
        <a:p>
          <a:pPr marL="0" indent="0" fontAlgn="t"/>
          <a:endParaRPr lang="de-CH" sz="1100" b="0" i="0" u="none" strike="noStrike">
            <a:solidFill>
              <a:schemeClr val="dk1"/>
            </a:solidFill>
            <a:effectLst/>
            <a:latin typeface="Frutiger LT Std 45 Light"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695324</xdr:colOff>
      <xdr:row>36</xdr:row>
      <xdr:rowOff>12081</xdr:rowOff>
    </xdr:from>
    <xdr:to>
      <xdr:col>5</xdr:col>
      <xdr:colOff>628650</xdr:colOff>
      <xdr:row>46</xdr:row>
      <xdr:rowOff>19051</xdr:rowOff>
    </xdr:to>
    <xdr:pic>
      <xdr:nvPicPr>
        <xdr:cNvPr id="6" name="Grafik 5"/>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235"/>
        <a:stretch/>
      </xdr:blipFill>
      <xdr:spPr bwMode="auto">
        <a:xfrm>
          <a:off x="1457324" y="6936756"/>
          <a:ext cx="2971801" cy="1911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5</xdr:row>
      <xdr:rowOff>47625</xdr:rowOff>
    </xdr:from>
    <xdr:to>
      <xdr:col>2</xdr:col>
      <xdr:colOff>547724</xdr:colOff>
      <xdr:row>13</xdr:row>
      <xdr:rowOff>152401</xdr:rowOff>
    </xdr:to>
    <xdr:pic>
      <xdr:nvPicPr>
        <xdr:cNvPr id="3" name="Grafik 2" descr="Retentionseinlauf mit senkrechtem Stutzen passend zu Gully 15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531" t="16406" r="12656" b="21562"/>
        <a:stretch/>
      </xdr:blipFill>
      <xdr:spPr bwMode="auto">
        <a:xfrm>
          <a:off x="28575" y="1066800"/>
          <a:ext cx="2043149" cy="1628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20</xdr:row>
      <xdr:rowOff>9525</xdr:rowOff>
    </xdr:from>
    <xdr:to>
      <xdr:col>3</xdr:col>
      <xdr:colOff>262274</xdr:colOff>
      <xdr:row>31</xdr:row>
      <xdr:rowOff>133351</xdr:rowOff>
    </xdr:to>
    <xdr:pic>
      <xdr:nvPicPr>
        <xdr:cNvPr id="5" name="Grafik 4" descr="http://www.rewatec.de/m4_userdateien/bilder/Produkte/retentionstank/Retentionstank-BlueLine-II-2016.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505200"/>
          <a:ext cx="2500649" cy="221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495299</xdr:colOff>
      <xdr:row>5</xdr:row>
      <xdr:rowOff>28574</xdr:rowOff>
    </xdr:from>
    <xdr:to>
      <xdr:col>6</xdr:col>
      <xdr:colOff>352425</xdr:colOff>
      <xdr:row>16</xdr:row>
      <xdr:rowOff>66675</xdr:rowOff>
    </xdr:to>
    <xdr:pic>
      <xdr:nvPicPr>
        <xdr:cNvPr id="22" name="Grafik 21" descr="friwa&lt;sup&gt;®&lt;/sup&gt;-rec Retentions- und Drosselschacht RD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81299" y="1047749"/>
          <a:ext cx="2133601" cy="2133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23</xdr:row>
      <xdr:rowOff>0</xdr:rowOff>
    </xdr:from>
    <xdr:to>
      <xdr:col>6</xdr:col>
      <xdr:colOff>919653</xdr:colOff>
      <xdr:row>31</xdr:row>
      <xdr:rowOff>171449</xdr:rowOff>
    </xdr:to>
    <xdr:pic>
      <xdr:nvPicPr>
        <xdr:cNvPr id="23" name="Grafik 2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47975" y="4257675"/>
          <a:ext cx="2443653" cy="169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123666</xdr:colOff>
      <xdr:row>38</xdr:row>
      <xdr:rowOff>190085</xdr:rowOff>
    </xdr:from>
    <xdr:to>
      <xdr:col>1</xdr:col>
      <xdr:colOff>452871</xdr:colOff>
      <xdr:row>41</xdr:row>
      <xdr:rowOff>56735</xdr:rowOff>
    </xdr:to>
    <xdr:pic>
      <xdr:nvPicPr>
        <xdr:cNvPr id="27" name="Grafik 26" descr=" Marley   //  KG-Rohr mit Steckmuffe "/>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7087811">
          <a:off x="831194" y="7550232"/>
          <a:ext cx="438150" cy="329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759906</xdr:colOff>
      <xdr:row>40</xdr:row>
      <xdr:rowOff>119007</xdr:rowOff>
    </xdr:from>
    <xdr:to>
      <xdr:col>1</xdr:col>
      <xdr:colOff>410772</xdr:colOff>
      <xdr:row>42</xdr:row>
      <xdr:rowOff>48215</xdr:rowOff>
    </xdr:to>
    <xdr:pic>
      <xdr:nvPicPr>
        <xdr:cNvPr id="29" name="Grafik 28" descr=" Marley   //  KG-Rohr mit Steckmuffe "/>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3320526">
          <a:off x="759906" y="7805682"/>
          <a:ext cx="412866" cy="310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638176</xdr:colOff>
      <xdr:row>40</xdr:row>
      <xdr:rowOff>133351</xdr:rowOff>
    </xdr:from>
    <xdr:to>
      <xdr:col>2</xdr:col>
      <xdr:colOff>85724</xdr:colOff>
      <xdr:row>42</xdr:row>
      <xdr:rowOff>133351</xdr:rowOff>
    </xdr:to>
    <xdr:pic>
      <xdr:nvPicPr>
        <xdr:cNvPr id="31" name="Grafik 30"/>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5" t="38359" r="93698" b="41713"/>
        <a:stretch/>
      </xdr:blipFill>
      <xdr:spPr bwMode="auto">
        <a:xfrm>
          <a:off x="1400176" y="7820026"/>
          <a:ext cx="209548"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13758</xdr:colOff>
      <xdr:row>36</xdr:row>
      <xdr:rowOff>0</xdr:rowOff>
    </xdr:from>
    <xdr:to>
      <xdr:col>2</xdr:col>
      <xdr:colOff>32809</xdr:colOff>
      <xdr:row>44</xdr:row>
      <xdr:rowOff>0</xdr:rowOff>
    </xdr:to>
    <xdr:cxnSp macro="">
      <xdr:nvCxnSpPr>
        <xdr:cNvPr id="33" name="Gerade Verbindung 32"/>
        <xdr:cNvCxnSpPr/>
      </xdr:nvCxnSpPr>
      <xdr:spPr>
        <a:xfrm flipH="1">
          <a:off x="1537758" y="6926792"/>
          <a:ext cx="19051" cy="152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123825</xdr:colOff>
      <xdr:row>35</xdr:row>
      <xdr:rowOff>171450</xdr:rowOff>
    </xdr:from>
    <xdr:to>
      <xdr:col>1</xdr:col>
      <xdr:colOff>133350</xdr:colOff>
      <xdr:row>43</xdr:row>
      <xdr:rowOff>171450</xdr:rowOff>
    </xdr:to>
    <xdr:cxnSp macro="">
      <xdr:nvCxnSpPr>
        <xdr:cNvPr id="35" name="Gerade Verbindung 34"/>
        <xdr:cNvCxnSpPr/>
      </xdr:nvCxnSpPr>
      <xdr:spPr>
        <a:xfrm flipH="1">
          <a:off x="885825" y="6905625"/>
          <a:ext cx="9525" cy="152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35</xdr:row>
      <xdr:rowOff>76200</xdr:rowOff>
    </xdr:from>
    <xdr:to>
      <xdr:col>2</xdr:col>
      <xdr:colOff>28575</xdr:colOff>
      <xdr:row>36</xdr:row>
      <xdr:rowOff>104775</xdr:rowOff>
    </xdr:to>
    <xdr:sp macro="" textlink="">
      <xdr:nvSpPr>
        <xdr:cNvPr id="36" name="Ellipse 35"/>
        <xdr:cNvSpPr/>
      </xdr:nvSpPr>
      <xdr:spPr>
        <a:xfrm>
          <a:off x="895350" y="6810375"/>
          <a:ext cx="657225" cy="219075"/>
        </a:xfrm>
        <a:prstGeom prst="ellipse">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123826</xdr:colOff>
      <xdr:row>43</xdr:row>
      <xdr:rowOff>47625</xdr:rowOff>
    </xdr:from>
    <xdr:to>
      <xdr:col>2</xdr:col>
      <xdr:colOff>9526</xdr:colOff>
      <xdr:row>44</xdr:row>
      <xdr:rowOff>114300</xdr:rowOff>
    </xdr:to>
    <xdr:sp macro="" textlink="">
      <xdr:nvSpPr>
        <xdr:cNvPr id="37" name="Ellipse 36"/>
        <xdr:cNvSpPr/>
      </xdr:nvSpPr>
      <xdr:spPr>
        <a:xfrm>
          <a:off x="885826" y="8305800"/>
          <a:ext cx="647700" cy="257175"/>
        </a:xfrm>
        <a:prstGeom prst="ellipse">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133350</xdr:colOff>
      <xdr:row>38</xdr:row>
      <xdr:rowOff>161925</xdr:rowOff>
    </xdr:from>
    <xdr:to>
      <xdr:col>2</xdr:col>
      <xdr:colOff>19050</xdr:colOff>
      <xdr:row>40</xdr:row>
      <xdr:rowOff>38100</xdr:rowOff>
    </xdr:to>
    <xdr:sp macro="" textlink="">
      <xdr:nvSpPr>
        <xdr:cNvPr id="40" name="Ellipse 39"/>
        <xdr:cNvSpPr/>
      </xdr:nvSpPr>
      <xdr:spPr>
        <a:xfrm>
          <a:off x="895350" y="7467600"/>
          <a:ext cx="647700" cy="257175"/>
        </a:xfrm>
        <a:prstGeom prst="ellipse">
          <a:avLst/>
        </a:prstGeom>
        <a:solidFill>
          <a:srgbClr val="66FFFF">
            <a:alpha val="50000"/>
          </a:srgb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3</xdr:col>
      <xdr:colOff>419100</xdr:colOff>
      <xdr:row>36</xdr:row>
      <xdr:rowOff>52918</xdr:rowOff>
    </xdr:from>
    <xdr:to>
      <xdr:col>4</xdr:col>
      <xdr:colOff>95250</xdr:colOff>
      <xdr:row>38</xdr:row>
      <xdr:rowOff>81493</xdr:rowOff>
    </xdr:to>
    <xdr:sp macro="" textlink="">
      <xdr:nvSpPr>
        <xdr:cNvPr id="41" name="Rechteck 40"/>
        <xdr:cNvSpPr/>
      </xdr:nvSpPr>
      <xdr:spPr>
        <a:xfrm rot="176965">
          <a:off x="2705100" y="6979710"/>
          <a:ext cx="427567" cy="4095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127001</xdr:colOff>
      <xdr:row>39</xdr:row>
      <xdr:rowOff>116416</xdr:rowOff>
    </xdr:from>
    <xdr:to>
      <xdr:col>2</xdr:col>
      <xdr:colOff>26459</xdr:colOff>
      <xdr:row>44</xdr:row>
      <xdr:rowOff>121708</xdr:rowOff>
    </xdr:to>
    <xdr:sp macro="" textlink="">
      <xdr:nvSpPr>
        <xdr:cNvPr id="42" name="Freihandform 41"/>
        <xdr:cNvSpPr/>
      </xdr:nvSpPr>
      <xdr:spPr>
        <a:xfrm>
          <a:off x="889001" y="7614708"/>
          <a:ext cx="661458" cy="957792"/>
        </a:xfrm>
        <a:custGeom>
          <a:avLst/>
          <a:gdLst>
            <a:gd name="connsiteX0" fmla="*/ 5291 w 672041"/>
            <a:gd name="connsiteY0" fmla="*/ 0 h 957792"/>
            <a:gd name="connsiteX1" fmla="*/ 0 w 672041"/>
            <a:gd name="connsiteY1" fmla="*/ 820209 h 957792"/>
            <a:gd name="connsiteX2" fmla="*/ 58208 w 672041"/>
            <a:gd name="connsiteY2" fmla="*/ 894292 h 957792"/>
            <a:gd name="connsiteX3" fmla="*/ 116416 w 672041"/>
            <a:gd name="connsiteY3" fmla="*/ 920750 h 957792"/>
            <a:gd name="connsiteX4" fmla="*/ 211666 w 672041"/>
            <a:gd name="connsiteY4" fmla="*/ 947209 h 957792"/>
            <a:gd name="connsiteX5" fmla="*/ 312208 w 672041"/>
            <a:gd name="connsiteY5" fmla="*/ 957792 h 957792"/>
            <a:gd name="connsiteX6" fmla="*/ 386291 w 672041"/>
            <a:gd name="connsiteY6" fmla="*/ 952500 h 957792"/>
            <a:gd name="connsiteX7" fmla="*/ 508000 w 672041"/>
            <a:gd name="connsiteY7" fmla="*/ 931334 h 957792"/>
            <a:gd name="connsiteX8" fmla="*/ 603250 w 672041"/>
            <a:gd name="connsiteY8" fmla="*/ 899584 h 957792"/>
            <a:gd name="connsiteX9" fmla="*/ 661458 w 672041"/>
            <a:gd name="connsiteY9" fmla="*/ 836084 h 957792"/>
            <a:gd name="connsiteX10" fmla="*/ 666750 w 672041"/>
            <a:gd name="connsiteY10" fmla="*/ 820209 h 957792"/>
            <a:gd name="connsiteX11" fmla="*/ 672041 w 672041"/>
            <a:gd name="connsiteY11" fmla="*/ 0 h 957792"/>
            <a:gd name="connsiteX12" fmla="*/ 629708 w 672041"/>
            <a:gd name="connsiteY12" fmla="*/ 52917 h 957792"/>
            <a:gd name="connsiteX13" fmla="*/ 497416 w 672041"/>
            <a:gd name="connsiteY13" fmla="*/ 105834 h 957792"/>
            <a:gd name="connsiteX14" fmla="*/ 306916 w 672041"/>
            <a:gd name="connsiteY14" fmla="*/ 116417 h 957792"/>
            <a:gd name="connsiteX15" fmla="*/ 201083 w 672041"/>
            <a:gd name="connsiteY15" fmla="*/ 84667 h 957792"/>
            <a:gd name="connsiteX16" fmla="*/ 84666 w 672041"/>
            <a:gd name="connsiteY16" fmla="*/ 63500 h 957792"/>
            <a:gd name="connsiteX17" fmla="*/ 5291 w 672041"/>
            <a:gd name="connsiteY17" fmla="*/ 0 h 9577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72041" h="957792">
              <a:moveTo>
                <a:pt x="5291" y="0"/>
              </a:moveTo>
              <a:cubicBezTo>
                <a:pt x="3527" y="273403"/>
                <a:pt x="1764" y="546806"/>
                <a:pt x="0" y="820209"/>
              </a:cubicBezTo>
              <a:lnTo>
                <a:pt x="58208" y="894292"/>
              </a:lnTo>
              <a:lnTo>
                <a:pt x="116416" y="920750"/>
              </a:lnTo>
              <a:lnTo>
                <a:pt x="211666" y="947209"/>
              </a:lnTo>
              <a:lnTo>
                <a:pt x="312208" y="957792"/>
              </a:lnTo>
              <a:lnTo>
                <a:pt x="386291" y="952500"/>
              </a:lnTo>
              <a:lnTo>
                <a:pt x="508000" y="931334"/>
              </a:lnTo>
              <a:lnTo>
                <a:pt x="603250" y="899584"/>
              </a:lnTo>
              <a:lnTo>
                <a:pt x="661458" y="836084"/>
              </a:lnTo>
              <a:lnTo>
                <a:pt x="666750" y="820209"/>
              </a:lnTo>
              <a:cubicBezTo>
                <a:pt x="668514" y="546806"/>
                <a:pt x="670277" y="273403"/>
                <a:pt x="672041" y="0"/>
              </a:cubicBezTo>
              <a:lnTo>
                <a:pt x="629708" y="52917"/>
              </a:lnTo>
              <a:lnTo>
                <a:pt x="497416" y="105834"/>
              </a:lnTo>
              <a:lnTo>
                <a:pt x="306916" y="116417"/>
              </a:lnTo>
              <a:lnTo>
                <a:pt x="201083" y="84667"/>
              </a:lnTo>
              <a:lnTo>
                <a:pt x="84666" y="63500"/>
              </a:lnTo>
              <a:lnTo>
                <a:pt x="5291" y="0"/>
              </a:lnTo>
              <a:close/>
            </a:path>
          </a:pathLst>
        </a:custGeom>
        <a:solidFill>
          <a:srgbClr val="66FFFF">
            <a:alpha val="5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296333</xdr:colOff>
      <xdr:row>41</xdr:row>
      <xdr:rowOff>52917</xdr:rowOff>
    </xdr:from>
    <xdr:to>
      <xdr:col>1</xdr:col>
      <xdr:colOff>412750</xdr:colOff>
      <xdr:row>42</xdr:row>
      <xdr:rowOff>21166</xdr:rowOff>
    </xdr:to>
    <xdr:sp macro="" textlink="">
      <xdr:nvSpPr>
        <xdr:cNvPr id="43" name="Ellipse 42"/>
        <xdr:cNvSpPr/>
      </xdr:nvSpPr>
      <xdr:spPr>
        <a:xfrm>
          <a:off x="1058333" y="7932209"/>
          <a:ext cx="116417" cy="158749"/>
        </a:xfrm>
        <a:prstGeom prst="ellipse">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338666</xdr:colOff>
      <xdr:row>41</xdr:row>
      <xdr:rowOff>148166</xdr:rowOff>
    </xdr:from>
    <xdr:to>
      <xdr:col>1</xdr:col>
      <xdr:colOff>384385</xdr:colOff>
      <xdr:row>42</xdr:row>
      <xdr:rowOff>3385</xdr:rowOff>
    </xdr:to>
    <xdr:sp macro="" textlink="">
      <xdr:nvSpPr>
        <xdr:cNvPr id="44" name="Ellipse 43"/>
        <xdr:cNvSpPr/>
      </xdr:nvSpPr>
      <xdr:spPr>
        <a:xfrm>
          <a:off x="1100666" y="8027458"/>
          <a:ext cx="45719" cy="45719"/>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137583</xdr:colOff>
      <xdr:row>41</xdr:row>
      <xdr:rowOff>158757</xdr:rowOff>
    </xdr:from>
    <xdr:to>
      <xdr:col>2</xdr:col>
      <xdr:colOff>23283</xdr:colOff>
      <xdr:row>43</xdr:row>
      <xdr:rowOff>34932</xdr:rowOff>
    </xdr:to>
    <xdr:sp macro="" textlink="">
      <xdr:nvSpPr>
        <xdr:cNvPr id="46" name="Ellipse 45"/>
        <xdr:cNvSpPr/>
      </xdr:nvSpPr>
      <xdr:spPr>
        <a:xfrm>
          <a:off x="899583" y="8038049"/>
          <a:ext cx="647700" cy="257175"/>
        </a:xfrm>
        <a:prstGeom prst="ellipse">
          <a:avLst/>
        </a:pr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showGridLines="0" tabSelected="1" view="pageBreakPreview" zoomScale="70" zoomScaleNormal="70" zoomScaleSheetLayoutView="70" workbookViewId="0">
      <selection activeCell="F21" sqref="F21"/>
    </sheetView>
  </sheetViews>
  <sheetFormatPr baseColWidth="10" defaultColWidth="11.44140625" defaultRowHeight="13.2" x14ac:dyDescent="0.25"/>
  <cols>
    <col min="1" max="1" width="7.44140625" style="116" customWidth="1"/>
    <col min="2" max="2" width="6.44140625" style="116" customWidth="1"/>
    <col min="3" max="3" width="9.33203125" style="116" customWidth="1"/>
    <col min="4" max="4" width="20.109375" style="116" customWidth="1"/>
    <col min="5" max="5" width="24.6640625" style="116" customWidth="1"/>
    <col min="6" max="6" width="12.88671875" style="116" customWidth="1"/>
    <col min="7" max="7" width="14" style="116" customWidth="1"/>
    <col min="8" max="8" width="15.5546875" style="116" customWidth="1"/>
    <col min="9" max="9" width="1.5546875" style="116" customWidth="1"/>
    <col min="10" max="10" width="11.44140625" style="116"/>
    <col min="11" max="11" width="19.33203125" style="116" customWidth="1"/>
    <col min="12" max="15" width="11.44140625" style="116"/>
    <col min="16" max="16" width="10.5546875" style="116" customWidth="1"/>
    <col min="17" max="17" width="11.44140625" style="116"/>
    <col min="18" max="18" width="12.6640625" style="116" customWidth="1"/>
    <col min="19" max="19" width="0.44140625" style="116" customWidth="1"/>
    <col min="20" max="16384" width="11.44140625" style="116"/>
  </cols>
  <sheetData>
    <row r="1" spans="1:18" s="54" customFormat="1" ht="35.25" x14ac:dyDescent="0.5">
      <c r="A1" s="74" t="s">
        <v>13</v>
      </c>
      <c r="B1" s="75"/>
      <c r="E1" s="75"/>
      <c r="F1" s="75"/>
      <c r="R1" s="54" t="s">
        <v>102</v>
      </c>
    </row>
    <row r="2" spans="1:18" s="54" customFormat="1" ht="35.25" x14ac:dyDescent="0.5">
      <c r="A2" s="74" t="s">
        <v>14</v>
      </c>
      <c r="B2" s="75"/>
      <c r="E2" s="75"/>
      <c r="F2" s="75"/>
    </row>
    <row r="3" spans="1:18" s="54" customFormat="1" ht="20.100000000000001" customHeight="1" x14ac:dyDescent="0.25">
      <c r="A3" s="75"/>
      <c r="B3" s="75"/>
      <c r="E3" s="75"/>
      <c r="F3" s="75"/>
    </row>
    <row r="4" spans="1:18" s="54" customFormat="1" ht="20.100000000000001" customHeight="1" x14ac:dyDescent="0.25">
      <c r="E4" s="75"/>
      <c r="F4" s="75"/>
    </row>
    <row r="5" spans="1:18" s="54" customFormat="1" ht="18" x14ac:dyDescent="0.25"/>
    <row r="6" spans="1:18" s="53" customFormat="1" ht="23.25" x14ac:dyDescent="0.35">
      <c r="A6" s="63" t="s">
        <v>15</v>
      </c>
      <c r="B6" s="68"/>
      <c r="D6" s="120"/>
      <c r="E6" s="121"/>
      <c r="F6" s="121"/>
      <c r="G6" s="121"/>
      <c r="H6" s="122"/>
      <c r="J6" s="76" t="s">
        <v>16</v>
      </c>
      <c r="L6" s="123"/>
      <c r="M6" s="124"/>
      <c r="N6" s="124"/>
      <c r="O6" s="124"/>
      <c r="P6" s="124"/>
      <c r="Q6" s="124"/>
      <c r="R6" s="125"/>
    </row>
    <row r="7" spans="1:18" s="53" customFormat="1" ht="23.25" x14ac:dyDescent="0.35">
      <c r="A7" s="63"/>
      <c r="D7" s="68"/>
      <c r="E7" s="68"/>
      <c r="F7" s="68"/>
      <c r="G7" s="68"/>
      <c r="H7" s="68"/>
      <c r="J7" s="76"/>
      <c r="L7" s="69"/>
      <c r="M7" s="69"/>
      <c r="N7" s="77"/>
      <c r="O7" s="68"/>
      <c r="P7" s="68"/>
      <c r="Q7" s="68"/>
      <c r="R7" s="68"/>
    </row>
    <row r="8" spans="1:18" s="53" customFormat="1" ht="23.25" x14ac:dyDescent="0.35">
      <c r="A8" s="63" t="s">
        <v>17</v>
      </c>
      <c r="B8" s="68"/>
      <c r="D8" s="138"/>
      <c r="E8" s="139"/>
      <c r="F8" s="139"/>
      <c r="G8" s="139"/>
      <c r="H8" s="140"/>
      <c r="J8" s="76" t="s">
        <v>96</v>
      </c>
      <c r="L8" s="126"/>
      <c r="M8" s="127"/>
      <c r="N8" s="127"/>
      <c r="O8" s="127"/>
      <c r="P8" s="127"/>
      <c r="Q8" s="127"/>
      <c r="R8" s="128"/>
    </row>
    <row r="9" spans="1:18" s="53" customFormat="1" ht="23.25" x14ac:dyDescent="0.35">
      <c r="D9" s="132"/>
      <c r="E9" s="133"/>
      <c r="F9" s="133"/>
      <c r="G9" s="133"/>
      <c r="H9" s="134"/>
      <c r="J9" s="78"/>
      <c r="L9" s="129"/>
      <c r="M9" s="130"/>
      <c r="N9" s="130"/>
      <c r="O9" s="130"/>
      <c r="P9" s="130"/>
      <c r="Q9" s="130"/>
      <c r="R9" s="131"/>
    </row>
    <row r="10" spans="1:18" s="53" customFormat="1" ht="23.25" x14ac:dyDescent="0.35">
      <c r="D10" s="132"/>
      <c r="E10" s="133"/>
      <c r="F10" s="133"/>
      <c r="G10" s="133"/>
      <c r="H10" s="134"/>
      <c r="J10" s="79"/>
      <c r="L10" s="129"/>
      <c r="M10" s="130"/>
      <c r="N10" s="130"/>
      <c r="O10" s="130"/>
      <c r="P10" s="130"/>
      <c r="Q10" s="130"/>
      <c r="R10" s="131"/>
    </row>
    <row r="11" spans="1:18" s="53" customFormat="1" ht="23.25" x14ac:dyDescent="0.35">
      <c r="D11" s="132"/>
      <c r="E11" s="133"/>
      <c r="F11" s="133"/>
      <c r="G11" s="133"/>
      <c r="H11" s="134"/>
      <c r="J11" s="79"/>
      <c r="L11" s="129"/>
      <c r="M11" s="130"/>
      <c r="N11" s="130"/>
      <c r="O11" s="130"/>
      <c r="P11" s="130"/>
      <c r="Q11" s="130"/>
      <c r="R11" s="131"/>
    </row>
    <row r="12" spans="1:18" s="53" customFormat="1" ht="23.25" x14ac:dyDescent="0.35">
      <c r="A12" s="68"/>
      <c r="B12" s="68"/>
      <c r="D12" s="135"/>
      <c r="E12" s="136"/>
      <c r="F12" s="136"/>
      <c r="G12" s="136"/>
      <c r="H12" s="137"/>
      <c r="J12" s="78"/>
      <c r="L12" s="141"/>
      <c r="M12" s="142"/>
      <c r="N12" s="142"/>
      <c r="O12" s="142"/>
      <c r="P12" s="142"/>
      <c r="Q12" s="142"/>
      <c r="R12" s="143"/>
    </row>
    <row r="13" spans="1:18" s="56" customFormat="1" ht="20.100000000000001" customHeight="1" x14ac:dyDescent="0.25">
      <c r="A13" s="62"/>
      <c r="B13" s="62"/>
      <c r="C13" s="62"/>
      <c r="D13" s="62"/>
      <c r="E13" s="62"/>
      <c r="F13" s="62"/>
      <c r="G13" s="55"/>
      <c r="H13" s="55"/>
      <c r="I13" s="55"/>
      <c r="J13" s="62"/>
      <c r="K13" s="62"/>
    </row>
    <row r="14" spans="1:18" s="56" customFormat="1" ht="20.100000000000001" customHeight="1" x14ac:dyDescent="0.25">
      <c r="A14" s="62"/>
      <c r="B14" s="62"/>
      <c r="C14" s="62"/>
      <c r="D14" s="62"/>
      <c r="E14" s="62"/>
      <c r="F14" s="62"/>
      <c r="G14" s="55"/>
      <c r="H14" s="55"/>
      <c r="I14" s="55"/>
      <c r="J14" s="62"/>
      <c r="K14" s="62"/>
    </row>
    <row r="15" spans="1:18" s="63" customFormat="1" ht="21" x14ac:dyDescent="0.4">
      <c r="A15" s="63" t="s">
        <v>82</v>
      </c>
      <c r="J15" s="63" t="s">
        <v>31</v>
      </c>
    </row>
    <row r="16" spans="1:18" s="61" customFormat="1" ht="18" x14ac:dyDescent="0.25"/>
    <row r="17" spans="1:18" s="54" customFormat="1" ht="17.399999999999999" x14ac:dyDescent="0.3">
      <c r="A17" s="54" t="s">
        <v>83</v>
      </c>
      <c r="C17" s="61"/>
      <c r="D17" s="61"/>
      <c r="E17" s="61"/>
      <c r="F17" s="61"/>
    </row>
    <row r="18" spans="1:18" s="54" customFormat="1" ht="21" x14ac:dyDescent="0.45">
      <c r="A18" s="159" t="s">
        <v>18</v>
      </c>
      <c r="B18" s="160"/>
      <c r="C18" s="160"/>
      <c r="D18" s="160"/>
      <c r="E18" s="161"/>
      <c r="F18" s="80" t="s">
        <v>89</v>
      </c>
      <c r="G18" s="81" t="s">
        <v>90</v>
      </c>
      <c r="H18" s="81" t="s">
        <v>94</v>
      </c>
      <c r="J18" s="82" t="s">
        <v>84</v>
      </c>
      <c r="K18" s="82"/>
      <c r="L18" s="82"/>
      <c r="P18" s="83" t="e">
        <f>'Werte Berechnung Retention'!B33*0.1</f>
        <v>#VALUE!</v>
      </c>
      <c r="Q18" s="84" t="s">
        <v>67</v>
      </c>
      <c r="R18" s="60"/>
    </row>
    <row r="19" spans="1:18" s="54" customFormat="1" ht="21" customHeight="1" x14ac:dyDescent="0.3">
      <c r="A19" s="162"/>
      <c r="B19" s="163"/>
      <c r="C19" s="163"/>
      <c r="D19" s="163"/>
      <c r="E19" s="164"/>
      <c r="F19" s="85" t="s">
        <v>91</v>
      </c>
      <c r="G19" s="85" t="s">
        <v>92</v>
      </c>
      <c r="H19" s="85" t="s">
        <v>93</v>
      </c>
    </row>
    <row r="20" spans="1:18" s="54" customFormat="1" ht="19.8" x14ac:dyDescent="0.4">
      <c r="A20" s="144" t="s">
        <v>80</v>
      </c>
      <c r="B20" s="145"/>
      <c r="C20" s="86" t="s">
        <v>19</v>
      </c>
      <c r="D20" s="87"/>
      <c r="E20" s="88"/>
      <c r="F20" s="67">
        <v>0</v>
      </c>
      <c r="G20" s="57">
        <v>1</v>
      </c>
      <c r="H20" s="89">
        <f t="shared" ref="H20:H31" si="0">IF(F20&lt;&gt;"",G20*F20,"")</f>
        <v>0</v>
      </c>
      <c r="J20" s="90" t="s">
        <v>85</v>
      </c>
      <c r="K20" s="90"/>
      <c r="L20" s="90"/>
      <c r="P20" s="91" t="e">
        <f>'Werte Berechnung Retention'!C33</f>
        <v>#VALUE!</v>
      </c>
      <c r="Q20" s="92" t="s">
        <v>32</v>
      </c>
      <c r="R20" s="60"/>
    </row>
    <row r="21" spans="1:18" s="54" customFormat="1" ht="18" thickBot="1" x14ac:dyDescent="0.35">
      <c r="A21" s="148"/>
      <c r="B21" s="149"/>
      <c r="C21" s="86" t="s">
        <v>20</v>
      </c>
      <c r="D21" s="87"/>
      <c r="E21" s="88"/>
      <c r="F21" s="67">
        <v>0</v>
      </c>
      <c r="G21" s="57">
        <v>1</v>
      </c>
      <c r="H21" s="89">
        <f t="shared" si="0"/>
        <v>0</v>
      </c>
      <c r="P21" s="93"/>
      <c r="Q21" s="93"/>
    </row>
    <row r="22" spans="1:18" s="54" customFormat="1" ht="19.2" x14ac:dyDescent="0.3">
      <c r="A22" s="144" t="s">
        <v>21</v>
      </c>
      <c r="B22" s="145"/>
      <c r="C22" s="86" t="s">
        <v>22</v>
      </c>
      <c r="D22" s="87"/>
      <c r="E22" s="88"/>
      <c r="F22" s="58"/>
      <c r="G22" s="57"/>
      <c r="H22" s="89" t="str">
        <f t="shared" si="0"/>
        <v/>
      </c>
      <c r="J22" s="61" t="s">
        <v>33</v>
      </c>
      <c r="K22" s="61"/>
      <c r="L22" s="61"/>
      <c r="P22" s="94" t="e">
        <f>IF('Werte Berechnung Retention'!B55&lt;=1,0,'Werte Berechnung Retention'!B55)</f>
        <v>#VALUE!</v>
      </c>
      <c r="Q22" s="95" t="s">
        <v>86</v>
      </c>
      <c r="R22" s="96"/>
    </row>
    <row r="23" spans="1:18" s="54" customFormat="1" ht="18" thickBot="1" x14ac:dyDescent="0.35">
      <c r="A23" s="146"/>
      <c r="B23" s="147"/>
      <c r="C23" s="86" t="s">
        <v>23</v>
      </c>
      <c r="D23" s="87"/>
      <c r="E23" s="88"/>
      <c r="F23" s="67">
        <v>0</v>
      </c>
      <c r="G23" s="57">
        <v>0.1</v>
      </c>
      <c r="H23" s="89">
        <f t="shared" si="0"/>
        <v>0</v>
      </c>
      <c r="J23" s="54" t="s">
        <v>95</v>
      </c>
      <c r="P23" s="97" t="e">
        <f>IF(P22=0,"--",((((P18/1000)*0.419703)*1.27324)^0.5)*1000)</f>
        <v>#VALUE!</v>
      </c>
      <c r="Q23" s="98" t="s">
        <v>34</v>
      </c>
      <c r="R23" s="99"/>
    </row>
    <row r="24" spans="1:18" s="54" customFormat="1" ht="18" thickBot="1" x14ac:dyDescent="0.35">
      <c r="A24" s="146"/>
      <c r="B24" s="147"/>
      <c r="C24" s="86" t="s">
        <v>24</v>
      </c>
      <c r="D24" s="87"/>
      <c r="E24" s="88"/>
      <c r="F24" s="67">
        <v>0</v>
      </c>
      <c r="G24" s="57">
        <v>0.2</v>
      </c>
      <c r="H24" s="89">
        <f t="shared" si="0"/>
        <v>0</v>
      </c>
      <c r="J24" s="100"/>
      <c r="K24" s="100"/>
      <c r="L24" s="100"/>
      <c r="M24" s="101"/>
      <c r="N24" s="93"/>
    </row>
    <row r="25" spans="1:18" s="54" customFormat="1" ht="18" customHeight="1" x14ac:dyDescent="0.3">
      <c r="A25" s="146"/>
      <c r="B25" s="147"/>
      <c r="C25" s="86" t="s">
        <v>25</v>
      </c>
      <c r="D25" s="87"/>
      <c r="E25" s="88"/>
      <c r="F25" s="67">
        <v>0</v>
      </c>
      <c r="G25" s="57">
        <v>0.4</v>
      </c>
      <c r="H25" s="89">
        <f t="shared" si="0"/>
        <v>0</v>
      </c>
      <c r="J25" s="150" t="s">
        <v>81</v>
      </c>
      <c r="K25" s="151"/>
      <c r="L25" s="151"/>
      <c r="M25" s="151"/>
      <c r="N25" s="151"/>
      <c r="O25" s="151"/>
      <c r="P25" s="151"/>
      <c r="Q25" s="151"/>
      <c r="R25" s="152"/>
    </row>
    <row r="26" spans="1:18" s="54" customFormat="1" ht="18" customHeight="1" x14ac:dyDescent="0.3">
      <c r="A26" s="146"/>
      <c r="B26" s="147"/>
      <c r="C26" s="86" t="s">
        <v>26</v>
      </c>
      <c r="D26" s="87"/>
      <c r="E26" s="88"/>
      <c r="F26" s="67">
        <v>0</v>
      </c>
      <c r="G26" s="57">
        <v>0.7</v>
      </c>
      <c r="H26" s="89">
        <f t="shared" si="0"/>
        <v>0</v>
      </c>
      <c r="J26" s="153"/>
      <c r="K26" s="154"/>
      <c r="L26" s="154"/>
      <c r="M26" s="154"/>
      <c r="N26" s="154"/>
      <c r="O26" s="154"/>
      <c r="P26" s="154"/>
      <c r="Q26" s="154"/>
      <c r="R26" s="155"/>
    </row>
    <row r="27" spans="1:18" s="54" customFormat="1" ht="18" customHeight="1" thickBot="1" x14ac:dyDescent="0.35">
      <c r="A27" s="146"/>
      <c r="B27" s="147"/>
      <c r="C27" s="86" t="s">
        <v>27</v>
      </c>
      <c r="D27" s="87"/>
      <c r="E27" s="88"/>
      <c r="F27" s="58"/>
      <c r="G27" s="57"/>
      <c r="H27" s="89" t="str">
        <f t="shared" si="0"/>
        <v/>
      </c>
      <c r="J27" s="156"/>
      <c r="K27" s="157"/>
      <c r="L27" s="157"/>
      <c r="M27" s="157"/>
      <c r="N27" s="157"/>
      <c r="O27" s="157"/>
      <c r="P27" s="157"/>
      <c r="Q27" s="157"/>
      <c r="R27" s="158"/>
    </row>
    <row r="28" spans="1:18" s="54" customFormat="1" ht="18" x14ac:dyDescent="0.35">
      <c r="A28" s="146"/>
      <c r="B28" s="147"/>
      <c r="C28" s="86" t="s">
        <v>23</v>
      </c>
      <c r="D28" s="87"/>
      <c r="E28" s="88"/>
      <c r="F28" s="67">
        <v>0</v>
      </c>
      <c r="G28" s="59">
        <v>0.2</v>
      </c>
      <c r="H28" s="89">
        <f t="shared" si="0"/>
        <v>0</v>
      </c>
    </row>
    <row r="29" spans="1:18" s="54" customFormat="1" ht="18" x14ac:dyDescent="0.35">
      <c r="A29" s="146"/>
      <c r="B29" s="147"/>
      <c r="C29" s="86" t="s">
        <v>28</v>
      </c>
      <c r="D29" s="87"/>
      <c r="E29" s="88"/>
      <c r="F29" s="67">
        <v>0</v>
      </c>
      <c r="G29" s="59">
        <v>0.3</v>
      </c>
      <c r="H29" s="89">
        <f t="shared" si="0"/>
        <v>0</v>
      </c>
      <c r="J29" s="93" t="s">
        <v>35</v>
      </c>
      <c r="K29" s="100"/>
      <c r="L29" s="100"/>
      <c r="M29" s="101"/>
      <c r="N29" s="93"/>
      <c r="O29" s="100"/>
      <c r="P29" s="100"/>
      <c r="Q29" s="100"/>
      <c r="R29" s="100"/>
    </row>
    <row r="30" spans="1:18" s="54" customFormat="1" ht="18" x14ac:dyDescent="0.35">
      <c r="A30" s="146"/>
      <c r="B30" s="147"/>
      <c r="C30" s="86" t="s">
        <v>25</v>
      </c>
      <c r="D30" s="87"/>
      <c r="E30" s="88"/>
      <c r="F30" s="67">
        <v>0</v>
      </c>
      <c r="G30" s="59">
        <v>0.5</v>
      </c>
      <c r="H30" s="89">
        <f t="shared" si="0"/>
        <v>0</v>
      </c>
    </row>
    <row r="31" spans="1:18" s="54" customFormat="1" ht="18" x14ac:dyDescent="0.35">
      <c r="A31" s="148"/>
      <c r="B31" s="149"/>
      <c r="C31" s="86" t="s">
        <v>26</v>
      </c>
      <c r="D31" s="87"/>
      <c r="E31" s="88"/>
      <c r="F31" s="67">
        <v>0</v>
      </c>
      <c r="G31" s="59">
        <v>0.8</v>
      </c>
      <c r="H31" s="89">
        <f t="shared" si="0"/>
        <v>0</v>
      </c>
      <c r="J31" s="100" t="s">
        <v>100</v>
      </c>
      <c r="K31" s="100"/>
      <c r="L31" s="100"/>
      <c r="M31" s="100"/>
      <c r="N31" s="100"/>
      <c r="O31" s="100"/>
      <c r="P31" s="65" t="e">
        <f>P20</f>
        <v>#VALUE!</v>
      </c>
      <c r="Q31" s="100" t="s">
        <v>97</v>
      </c>
    </row>
    <row r="32" spans="1:18" s="54" customFormat="1" ht="18" x14ac:dyDescent="0.25">
      <c r="F32" s="102"/>
      <c r="G32" s="103"/>
      <c r="H32" s="104"/>
      <c r="J32" s="100" t="s">
        <v>124</v>
      </c>
      <c r="K32" s="100"/>
      <c r="L32" s="100"/>
      <c r="M32" s="100"/>
      <c r="N32" s="100"/>
      <c r="O32" s="100"/>
      <c r="P32" s="66" t="e">
        <f>IF(P31&lt;3.3,0.5, IF(M29&lt;4.7,0.6,IF(M29&lt;6.3,0.7,IF(M29&lt;8.3,0.8,IF(M29&lt;13.2,1,IF(M29&lt;20.5,1.25,IF(M29&lt;29.5,1.5,IF(M29&lt;52.3,2,IF(M29&lt;81.8,2.5,IF(M29&lt;117.8,3,1))))))))))</f>
        <v>#VALUE!</v>
      </c>
      <c r="Q32" s="105" t="s">
        <v>98</v>
      </c>
    </row>
    <row r="33" spans="1:18" s="54" customFormat="1" ht="17.399999999999999" x14ac:dyDescent="0.3">
      <c r="A33" s="61"/>
      <c r="B33" s="61"/>
      <c r="C33" s="61" t="s">
        <v>29</v>
      </c>
      <c r="D33" s="61"/>
      <c r="E33" s="61"/>
      <c r="F33" s="106" t="str">
        <f>IF(SUM(F20:F31)&lt;&gt;0,SUM(F20:F31),"")</f>
        <v/>
      </c>
      <c r="G33" s="107" t="str">
        <f>IF(H33&lt;&gt;"",H33/F33,"")</f>
        <v/>
      </c>
      <c r="H33" s="108" t="str">
        <f>IF(SUM(H20:H31)&lt;&gt;0,SUM(H20:H31),"")</f>
        <v/>
      </c>
      <c r="J33" s="100" t="s">
        <v>36</v>
      </c>
      <c r="K33" s="100"/>
      <c r="L33" s="100"/>
      <c r="M33" s="100"/>
      <c r="N33" s="100"/>
      <c r="O33" s="100"/>
      <c r="P33" s="109">
        <v>1</v>
      </c>
      <c r="Q33" s="110" t="s">
        <v>99</v>
      </c>
    </row>
    <row r="34" spans="1:18" s="54" customFormat="1" ht="18" x14ac:dyDescent="0.25">
      <c r="G34" s="111"/>
      <c r="H34" s="112"/>
      <c r="J34" s="100" t="s">
        <v>87</v>
      </c>
      <c r="K34" s="100"/>
      <c r="L34" s="100"/>
      <c r="M34" s="100"/>
      <c r="N34" s="100"/>
      <c r="O34" s="100"/>
    </row>
    <row r="35" spans="1:18" s="54" customFormat="1" ht="18" x14ac:dyDescent="0.35">
      <c r="C35" s="113" t="s">
        <v>30</v>
      </c>
      <c r="D35" s="113"/>
      <c r="H35" s="59">
        <v>0.1</v>
      </c>
      <c r="I35" s="114"/>
      <c r="J35" s="93" t="s">
        <v>37</v>
      </c>
      <c r="K35" s="93"/>
      <c r="L35" s="93"/>
      <c r="M35" s="100"/>
      <c r="N35" s="100"/>
      <c r="O35" s="100"/>
    </row>
    <row r="36" spans="1:18" s="54" customFormat="1" ht="18" x14ac:dyDescent="0.25">
      <c r="J36" s="100" t="s">
        <v>88</v>
      </c>
      <c r="K36" s="100"/>
      <c r="L36" s="100"/>
      <c r="M36" s="100"/>
      <c r="N36" s="100"/>
      <c r="O36" s="100"/>
    </row>
    <row r="37" spans="1:18" s="54" customFormat="1" ht="18" x14ac:dyDescent="0.25"/>
    <row r="38" spans="1:18" s="54" customFormat="1" ht="35.4" x14ac:dyDescent="0.6">
      <c r="A38" s="74" t="s">
        <v>101</v>
      </c>
      <c r="B38" s="61"/>
      <c r="K38" s="100"/>
      <c r="L38" s="100"/>
      <c r="M38" s="100"/>
      <c r="O38" s="100"/>
    </row>
    <row r="39" spans="1:18" s="54" customFormat="1" ht="35.25" x14ac:dyDescent="0.5">
      <c r="A39" s="74"/>
      <c r="B39" s="61"/>
      <c r="K39" s="100"/>
      <c r="L39" s="100"/>
      <c r="M39" s="100"/>
      <c r="N39" s="100"/>
      <c r="O39" s="100"/>
    </row>
    <row r="40" spans="1:18" s="54" customFormat="1" ht="18" x14ac:dyDescent="0.25"/>
    <row r="41" spans="1:18" s="54" customFormat="1" ht="18" x14ac:dyDescent="0.25">
      <c r="A41" s="61"/>
      <c r="B41" s="61"/>
      <c r="E41" s="61"/>
      <c r="F41" s="61"/>
    </row>
    <row r="42" spans="1:18" s="54" customFormat="1" ht="18" x14ac:dyDescent="0.25">
      <c r="G42" s="100"/>
      <c r="H42" s="115"/>
    </row>
    <row r="43" spans="1:18" s="54" customFormat="1" ht="18" x14ac:dyDescent="0.25">
      <c r="A43" s="82"/>
      <c r="B43" s="82"/>
      <c r="J43" s="116"/>
      <c r="K43" s="116"/>
      <c r="L43" s="116"/>
      <c r="M43" s="116"/>
      <c r="N43" s="116"/>
      <c r="O43" s="116"/>
      <c r="P43" s="116"/>
      <c r="Q43" s="116"/>
      <c r="R43" s="116"/>
    </row>
    <row r="44" spans="1:18" ht="14.25" x14ac:dyDescent="0.2">
      <c r="A44" s="117"/>
      <c r="B44" s="117"/>
    </row>
    <row r="45" spans="1:18" ht="13.8" x14ac:dyDescent="0.25">
      <c r="A45" s="118"/>
      <c r="B45" s="118"/>
    </row>
    <row r="46" spans="1:18" ht="13.8" x14ac:dyDescent="0.25">
      <c r="A46" s="119"/>
      <c r="B46" s="119"/>
    </row>
    <row r="47" spans="1:18" ht="13.8" x14ac:dyDescent="0.25">
      <c r="A47" s="119"/>
      <c r="B47" s="119"/>
    </row>
    <row r="48" spans="1:18" ht="13.8" x14ac:dyDescent="0.25">
      <c r="A48" s="119"/>
      <c r="B48" s="119"/>
    </row>
    <row r="49" spans="1:2" ht="13.8" x14ac:dyDescent="0.25">
      <c r="A49" s="119"/>
      <c r="B49" s="119"/>
    </row>
    <row r="50" spans="1:2" ht="13.8" x14ac:dyDescent="0.25">
      <c r="A50" s="119"/>
      <c r="B50" s="119"/>
    </row>
    <row r="51" spans="1:2" ht="13.8" x14ac:dyDescent="0.25">
      <c r="A51" s="119"/>
      <c r="B51" s="119"/>
    </row>
    <row r="52" spans="1:2" ht="13.8" x14ac:dyDescent="0.25">
      <c r="A52" s="119"/>
      <c r="B52" s="119"/>
    </row>
    <row r="53" spans="1:2" ht="13.8" x14ac:dyDescent="0.25">
      <c r="A53" s="119"/>
      <c r="B53" s="119"/>
    </row>
    <row r="54" spans="1:2" ht="13.8" x14ac:dyDescent="0.25">
      <c r="A54" s="119"/>
      <c r="B54" s="119"/>
    </row>
    <row r="55" spans="1:2" ht="13.8" x14ac:dyDescent="0.25">
      <c r="A55" s="119"/>
      <c r="B55" s="119"/>
    </row>
    <row r="56" spans="1:2" ht="13.8" x14ac:dyDescent="0.25">
      <c r="A56" s="119"/>
      <c r="B56" s="119"/>
    </row>
    <row r="57" spans="1:2" ht="13.8" x14ac:dyDescent="0.25">
      <c r="A57" s="119"/>
      <c r="B57" s="119"/>
    </row>
    <row r="58" spans="1:2" ht="13.8" x14ac:dyDescent="0.25">
      <c r="A58" s="119"/>
      <c r="B58" s="119"/>
    </row>
  </sheetData>
  <sheetProtection password="CC0D" sheet="1" objects="1" scenarios="1" selectLockedCells="1"/>
  <customSheetViews>
    <customSheetView guid="{C2AE7621-16FE-461B-A718-7353AC843B13}" scale="70" showPageBreaks="1" showGridLines="0" fitToPage="1" view="pageBreakPreview">
      <selection activeCell="D32" sqref="D32"/>
      <pageMargins left="0.78740157480314965" right="0.78740157480314965" top="0.98425196850393704" bottom="0.98425196850393704" header="0.51181102362204722" footer="0.51181102362204722"/>
      <pageSetup paperSize="8" scale="57" orientation="portrait" r:id="rId1"/>
      <headerFooter alignWithMargins="0"/>
    </customSheetView>
  </customSheetViews>
  <mergeCells count="17">
    <mergeCell ref="A22:B31"/>
    <mergeCell ref="J25:R27"/>
    <mergeCell ref="A18:E18"/>
    <mergeCell ref="A19:E19"/>
    <mergeCell ref="A20:B21"/>
    <mergeCell ref="D10:H10"/>
    <mergeCell ref="D11:H11"/>
    <mergeCell ref="D12:H12"/>
    <mergeCell ref="D8:H8"/>
    <mergeCell ref="L10:R10"/>
    <mergeCell ref="L11:R11"/>
    <mergeCell ref="L12:R12"/>
    <mergeCell ref="D6:H6"/>
    <mergeCell ref="L6:R6"/>
    <mergeCell ref="L8:R8"/>
    <mergeCell ref="L9:R9"/>
    <mergeCell ref="D9:H9"/>
  </mergeCells>
  <pageMargins left="0.78740157480314965" right="0.78740157480314965" top="0.98425196850393704" bottom="0.98425196850393704" header="0.51181102362204722" footer="0.51181102362204722"/>
  <pageSetup paperSize="9" scale="38" orientation="portrait" r:id="rId2"/>
  <headerFooter alignWithMargins="0">
    <oddFooter>&amp;LVersion 02.06.2016</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K79"/>
  <sheetViews>
    <sheetView view="pageBreakPreview" topLeftCell="A42" zoomScale="85" zoomScaleNormal="40" zoomScaleSheetLayoutView="85" workbookViewId="0">
      <selection activeCell="A53" sqref="A53"/>
    </sheetView>
  </sheetViews>
  <sheetFormatPr baseColWidth="10" defaultRowHeight="14.4" x14ac:dyDescent="0.3"/>
  <cols>
    <col min="1" max="1" width="57.88671875" customWidth="1"/>
    <col min="2" max="2" width="15.5546875" customWidth="1"/>
    <col min="3" max="3" width="17.44140625" customWidth="1"/>
    <col min="4" max="4" width="13" style="1" customWidth="1"/>
    <col min="5" max="5" width="14.44140625" customWidth="1"/>
    <col min="6" max="6" width="13.6640625" bestFit="1" customWidth="1"/>
    <col min="7" max="15" width="10.6640625" customWidth="1"/>
  </cols>
  <sheetData>
    <row r="1" spans="1:63" ht="18.75" x14ac:dyDescent="0.3">
      <c r="A1" s="22" t="s">
        <v>77</v>
      </c>
    </row>
    <row r="2" spans="1:63" ht="15" x14ac:dyDescent="0.25">
      <c r="A2" s="16"/>
      <c r="B2" s="4"/>
      <c r="C2" s="5"/>
      <c r="D2" s="11" t="s">
        <v>64</v>
      </c>
      <c r="E2" s="12"/>
      <c r="F2" s="12"/>
      <c r="G2" s="12"/>
      <c r="H2" s="12"/>
      <c r="I2" s="12"/>
      <c r="J2" s="12"/>
      <c r="K2" s="12"/>
      <c r="L2" s="12"/>
      <c r="M2" s="12"/>
      <c r="N2" s="12"/>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row>
    <row r="3" spans="1:63" ht="15" x14ac:dyDescent="0.25">
      <c r="A3" s="19"/>
      <c r="B3" s="6"/>
      <c r="C3" s="7"/>
      <c r="D3" s="16">
        <v>5</v>
      </c>
      <c r="E3" s="4">
        <v>10</v>
      </c>
      <c r="F3" s="16">
        <v>15</v>
      </c>
      <c r="G3" s="14">
        <v>20</v>
      </c>
      <c r="H3" s="4">
        <v>25</v>
      </c>
      <c r="I3" s="4">
        <v>30</v>
      </c>
      <c r="J3" s="4">
        <v>35</v>
      </c>
      <c r="K3" s="16">
        <v>40</v>
      </c>
      <c r="L3" s="5">
        <v>45</v>
      </c>
      <c r="M3" s="5">
        <v>50</v>
      </c>
      <c r="N3" s="5">
        <v>55</v>
      </c>
      <c r="O3" s="5">
        <v>60</v>
      </c>
      <c r="P3" s="5">
        <v>65</v>
      </c>
      <c r="Q3" s="5">
        <v>70</v>
      </c>
      <c r="R3" s="5">
        <v>75</v>
      </c>
      <c r="S3" s="5">
        <v>80</v>
      </c>
      <c r="T3" s="5">
        <v>85</v>
      </c>
      <c r="U3" s="5">
        <v>90</v>
      </c>
      <c r="V3" s="5">
        <v>95</v>
      </c>
      <c r="W3" s="5">
        <v>100</v>
      </c>
      <c r="X3" s="5">
        <v>105</v>
      </c>
      <c r="Y3" s="5">
        <v>110</v>
      </c>
      <c r="Z3" s="5">
        <v>115</v>
      </c>
      <c r="AA3" s="5">
        <v>120</v>
      </c>
      <c r="AB3" s="5">
        <v>125</v>
      </c>
      <c r="AC3" s="5">
        <v>130</v>
      </c>
      <c r="AD3" s="5">
        <v>135</v>
      </c>
      <c r="AE3" s="5">
        <v>140</v>
      </c>
      <c r="AF3" s="5">
        <v>145</v>
      </c>
      <c r="AG3" s="5">
        <v>150</v>
      </c>
      <c r="AH3" s="5">
        <v>155</v>
      </c>
      <c r="AI3" s="5">
        <v>160</v>
      </c>
      <c r="AJ3" s="5">
        <v>165</v>
      </c>
      <c r="AK3" s="5">
        <v>170</v>
      </c>
      <c r="AL3" s="5">
        <v>175</v>
      </c>
      <c r="AM3" s="5">
        <v>180</v>
      </c>
      <c r="AN3" s="5">
        <v>185</v>
      </c>
      <c r="AO3" s="5">
        <v>190</v>
      </c>
      <c r="AP3" s="5">
        <v>195</v>
      </c>
      <c r="AQ3" s="5">
        <v>200</v>
      </c>
      <c r="AR3" s="5">
        <v>205</v>
      </c>
      <c r="AS3" s="5">
        <v>210</v>
      </c>
      <c r="AT3" s="5">
        <v>215</v>
      </c>
      <c r="AU3" s="5">
        <v>220</v>
      </c>
      <c r="AV3" s="5">
        <v>225</v>
      </c>
      <c r="AW3" s="5">
        <v>230</v>
      </c>
      <c r="AX3" s="5">
        <v>235</v>
      </c>
      <c r="AY3" s="5">
        <v>240</v>
      </c>
      <c r="AZ3" s="5">
        <v>245</v>
      </c>
      <c r="BA3" s="5">
        <v>250</v>
      </c>
      <c r="BB3" s="5">
        <v>255</v>
      </c>
      <c r="BC3" s="5">
        <v>260</v>
      </c>
      <c r="BD3" s="5">
        <v>265</v>
      </c>
      <c r="BE3" s="5">
        <v>270</v>
      </c>
      <c r="BF3" s="5">
        <v>275</v>
      </c>
      <c r="BG3" s="5">
        <v>280</v>
      </c>
      <c r="BH3" s="5">
        <v>285</v>
      </c>
      <c r="BI3" s="5">
        <v>290</v>
      </c>
      <c r="BJ3" s="5">
        <v>295</v>
      </c>
      <c r="BK3" s="5">
        <v>300</v>
      </c>
    </row>
    <row r="4" spans="1:63" ht="15" x14ac:dyDescent="0.25">
      <c r="A4" s="20" t="s">
        <v>0</v>
      </c>
      <c r="B4" s="8" t="s">
        <v>63</v>
      </c>
      <c r="C4" s="9"/>
      <c r="D4" s="27" t="s">
        <v>4</v>
      </c>
      <c r="E4" s="28" t="s">
        <v>4</v>
      </c>
      <c r="F4" s="27" t="s">
        <v>4</v>
      </c>
      <c r="G4" s="15" t="s">
        <v>4</v>
      </c>
      <c r="H4" s="28" t="s">
        <v>4</v>
      </c>
      <c r="I4" s="28" t="s">
        <v>4</v>
      </c>
      <c r="J4" s="28" t="s">
        <v>4</v>
      </c>
      <c r="K4" s="27" t="s">
        <v>4</v>
      </c>
      <c r="L4" s="9" t="s">
        <v>4</v>
      </c>
      <c r="M4" s="9" t="s">
        <v>4</v>
      </c>
      <c r="N4" s="9" t="s">
        <v>4</v>
      </c>
      <c r="O4" s="9" t="s">
        <v>4</v>
      </c>
      <c r="P4" s="9" t="s">
        <v>4</v>
      </c>
      <c r="Q4" s="9" t="s">
        <v>4</v>
      </c>
      <c r="R4" s="9" t="s">
        <v>4</v>
      </c>
      <c r="S4" s="9" t="s">
        <v>4</v>
      </c>
      <c r="T4" s="9" t="s">
        <v>4</v>
      </c>
      <c r="U4" s="9" t="s">
        <v>4</v>
      </c>
      <c r="V4" s="9" t="s">
        <v>4</v>
      </c>
      <c r="W4" s="9" t="s">
        <v>4</v>
      </c>
      <c r="X4" s="9" t="s">
        <v>4</v>
      </c>
      <c r="Y4" s="9" t="s">
        <v>4</v>
      </c>
      <c r="Z4" s="9" t="s">
        <v>4</v>
      </c>
      <c r="AA4" s="9" t="s">
        <v>4</v>
      </c>
      <c r="AB4" s="9" t="s">
        <v>4</v>
      </c>
      <c r="AC4" s="9" t="s">
        <v>4</v>
      </c>
      <c r="AD4" s="21" t="s">
        <v>4</v>
      </c>
      <c r="AE4" s="41" t="s">
        <v>4</v>
      </c>
      <c r="AF4" s="41" t="s">
        <v>4</v>
      </c>
      <c r="AG4" s="41" t="s">
        <v>4</v>
      </c>
      <c r="AH4" s="41" t="s">
        <v>4</v>
      </c>
      <c r="AI4" s="41" t="s">
        <v>4</v>
      </c>
      <c r="AJ4" s="41" t="s">
        <v>4</v>
      </c>
      <c r="AK4" s="41" t="s">
        <v>4</v>
      </c>
      <c r="AL4" s="41" t="s">
        <v>4</v>
      </c>
      <c r="AM4" s="41" t="s">
        <v>4</v>
      </c>
      <c r="AN4" s="41" t="s">
        <v>4</v>
      </c>
      <c r="AO4" s="41" t="s">
        <v>4</v>
      </c>
      <c r="AP4" s="41" t="s">
        <v>4</v>
      </c>
      <c r="AQ4" s="41" t="s">
        <v>4</v>
      </c>
      <c r="AR4" s="41" t="s">
        <v>4</v>
      </c>
      <c r="AS4" s="41" t="s">
        <v>4</v>
      </c>
      <c r="AT4" s="41" t="s">
        <v>4</v>
      </c>
      <c r="AU4" s="41" t="s">
        <v>4</v>
      </c>
      <c r="AV4" s="41" t="s">
        <v>4</v>
      </c>
      <c r="AW4" s="41" t="s">
        <v>4</v>
      </c>
      <c r="AX4" s="41" t="s">
        <v>4</v>
      </c>
      <c r="AY4" s="41" t="s">
        <v>4</v>
      </c>
      <c r="AZ4" s="41" t="s">
        <v>4</v>
      </c>
      <c r="BA4" s="41" t="s">
        <v>4</v>
      </c>
      <c r="BB4" s="41" t="s">
        <v>4</v>
      </c>
      <c r="BC4" s="41" t="s">
        <v>4</v>
      </c>
      <c r="BD4" s="41" t="s">
        <v>4</v>
      </c>
      <c r="BE4" s="41" t="s">
        <v>4</v>
      </c>
      <c r="BF4" s="41" t="s">
        <v>4</v>
      </c>
      <c r="BG4" s="41" t="s">
        <v>4</v>
      </c>
      <c r="BH4" s="41" t="s">
        <v>4</v>
      </c>
      <c r="BI4" s="41" t="s">
        <v>4</v>
      </c>
      <c r="BJ4" s="41" t="s">
        <v>4</v>
      </c>
      <c r="BK4" s="41" t="s">
        <v>4</v>
      </c>
    </row>
    <row r="5" spans="1:63" ht="15" x14ac:dyDescent="0.25">
      <c r="A5" s="21" t="s">
        <v>1</v>
      </c>
      <c r="B5" s="16" t="s">
        <v>2</v>
      </c>
      <c r="C5" s="16" t="s">
        <v>3</v>
      </c>
      <c r="D5"/>
    </row>
    <row r="6" spans="1:63" ht="15" x14ac:dyDescent="0.25">
      <c r="A6" s="10" t="s">
        <v>49</v>
      </c>
      <c r="B6" s="10">
        <v>17.010000000000002</v>
      </c>
      <c r="C6" s="10">
        <v>0.2</v>
      </c>
      <c r="D6" s="17">
        <f t="shared" ref="D6:O11" si="0">$B6/((D$3/60)+$C6)</f>
        <v>60.035294117647069</v>
      </c>
      <c r="E6" s="17">
        <f t="shared" si="0"/>
        <v>46.390909090909091</v>
      </c>
      <c r="F6" s="17">
        <f t="shared" si="0"/>
        <v>37.800000000000004</v>
      </c>
      <c r="G6" s="17">
        <f t="shared" si="0"/>
        <v>31.893750000000004</v>
      </c>
      <c r="H6" s="17">
        <f t="shared" si="0"/>
        <v>27.583783783783787</v>
      </c>
      <c r="I6" s="17">
        <f t="shared" si="0"/>
        <v>24.300000000000004</v>
      </c>
      <c r="J6" s="17">
        <f t="shared" si="0"/>
        <v>21.714893617021275</v>
      </c>
      <c r="K6" s="17">
        <f t="shared" si="0"/>
        <v>19.626923076923077</v>
      </c>
      <c r="L6" s="17">
        <f t="shared" si="0"/>
        <v>17.905263157894741</v>
      </c>
      <c r="M6" s="17">
        <f t="shared" si="0"/>
        <v>16.461290322580645</v>
      </c>
      <c r="N6" s="17">
        <f t="shared" si="0"/>
        <v>15.232835820895524</v>
      </c>
      <c r="O6" s="17">
        <f>$B6/((O$3/60)+$C6)</f>
        <v>14.175000000000002</v>
      </c>
      <c r="P6" s="17">
        <f t="shared" ref="P6:AE11" si="1">$B6/((P$3/60)+$C6)</f>
        <v>13.254545454545458</v>
      </c>
      <c r="Q6" s="17">
        <f>$B6/((Q$3/60)+$C6)</f>
        <v>12.446341463414635</v>
      </c>
      <c r="R6" s="17">
        <f t="shared" ref="R6:AG11" si="2">$B6/((R$3/60)+$C6)</f>
        <v>11.731034482758622</v>
      </c>
      <c r="S6" s="17">
        <f t="shared" si="2"/>
        <v>11.093478260869567</v>
      </c>
      <c r="T6" s="17">
        <f t="shared" si="2"/>
        <v>10.521649484536082</v>
      </c>
      <c r="U6" s="17">
        <f t="shared" si="2"/>
        <v>10.005882352941178</v>
      </c>
      <c r="V6" s="17">
        <f t="shared" si="2"/>
        <v>9.5383177570093469</v>
      </c>
      <c r="W6" s="17">
        <f t="shared" si="2"/>
        <v>9.1125000000000007</v>
      </c>
      <c r="X6" s="17">
        <f t="shared" si="2"/>
        <v>8.7230769230769241</v>
      </c>
      <c r="Y6" s="17">
        <f t="shared" si="2"/>
        <v>8.365573770491805</v>
      </c>
      <c r="Z6" s="17">
        <f t="shared" si="2"/>
        <v>8.0362204724409452</v>
      </c>
      <c r="AA6" s="17">
        <f t="shared" si="2"/>
        <v>7.7318181818181815</v>
      </c>
      <c r="AB6" s="17">
        <f t="shared" si="2"/>
        <v>7.4496350364963497</v>
      </c>
      <c r="AC6" s="17">
        <f t="shared" si="2"/>
        <v>7.1873239436619727</v>
      </c>
      <c r="AD6" s="17">
        <f t="shared" si="2"/>
        <v>6.9428571428571431</v>
      </c>
      <c r="AE6" s="17">
        <f t="shared" si="2"/>
        <v>6.7144736842105264</v>
      </c>
      <c r="AF6" s="17">
        <f t="shared" si="2"/>
        <v>6.5006369426751593</v>
      </c>
      <c r="AG6" s="17">
        <f t="shared" si="2"/>
        <v>6.3</v>
      </c>
      <c r="AH6" s="17">
        <f t="shared" ref="AG6:BK11" si="3">$B6/((AH$3/60)+$C6)</f>
        <v>6.1113772455089821</v>
      </c>
      <c r="AI6" s="17">
        <f t="shared" si="3"/>
        <v>5.9337209302325586</v>
      </c>
      <c r="AJ6" s="17">
        <f t="shared" si="3"/>
        <v>5.7661016949152541</v>
      </c>
      <c r="AK6" s="17">
        <f t="shared" si="3"/>
        <v>5.6076923076923073</v>
      </c>
      <c r="AL6" s="17">
        <f t="shared" si="3"/>
        <v>5.4577540106951874</v>
      </c>
      <c r="AM6" s="17">
        <f t="shared" si="3"/>
        <v>5.3156249999999998</v>
      </c>
      <c r="AN6" s="17">
        <f t="shared" si="3"/>
        <v>5.1807106598984767</v>
      </c>
      <c r="AO6" s="17">
        <f t="shared" si="3"/>
        <v>5.052475247524753</v>
      </c>
      <c r="AP6" s="17">
        <f t="shared" si="3"/>
        <v>4.9304347826086961</v>
      </c>
      <c r="AQ6" s="17">
        <f t="shared" si="3"/>
        <v>4.8141509433962266</v>
      </c>
      <c r="AR6" s="17">
        <f t="shared" si="3"/>
        <v>4.7032258064516137</v>
      </c>
      <c r="AS6" s="17">
        <f t="shared" si="3"/>
        <v>4.5972972972972972</v>
      </c>
      <c r="AT6" s="17">
        <f t="shared" si="3"/>
        <v>4.4960352422907492</v>
      </c>
      <c r="AU6" s="17">
        <f t="shared" si="3"/>
        <v>4.3991379310344829</v>
      </c>
      <c r="AV6" s="17">
        <f t="shared" si="3"/>
        <v>4.3063291139240505</v>
      </c>
      <c r="AW6" s="17">
        <f t="shared" si="3"/>
        <v>4.217355371900827</v>
      </c>
      <c r="AX6" s="17">
        <f t="shared" si="3"/>
        <v>4.1319838056680167</v>
      </c>
      <c r="AY6" s="17">
        <f t="shared" si="3"/>
        <v>4.05</v>
      </c>
      <c r="AZ6" s="17">
        <f t="shared" si="3"/>
        <v>3.9712062256809344</v>
      </c>
      <c r="BA6" s="17">
        <f t="shared" si="3"/>
        <v>3.8954198473282444</v>
      </c>
      <c r="BB6" s="17">
        <f t="shared" si="3"/>
        <v>3.8224719101123599</v>
      </c>
      <c r="BC6" s="17">
        <f t="shared" si="3"/>
        <v>3.7522058823529418</v>
      </c>
      <c r="BD6" s="17">
        <f t="shared" si="3"/>
        <v>3.6844765342960288</v>
      </c>
      <c r="BE6" s="17">
        <f t="shared" si="3"/>
        <v>3.6191489361702129</v>
      </c>
      <c r="BF6" s="17">
        <f t="shared" si="3"/>
        <v>3.5560975609756103</v>
      </c>
      <c r="BG6" s="17">
        <f t="shared" si="3"/>
        <v>3.4952054794520548</v>
      </c>
      <c r="BH6" s="17">
        <f t="shared" si="3"/>
        <v>3.4363636363636365</v>
      </c>
      <c r="BI6" s="17">
        <f t="shared" si="3"/>
        <v>3.3794701986754969</v>
      </c>
      <c r="BJ6" s="17">
        <f t="shared" si="3"/>
        <v>3.3244299674267102</v>
      </c>
      <c r="BK6" s="17">
        <f t="shared" si="3"/>
        <v>3.2711538461538465</v>
      </c>
    </row>
    <row r="7" spans="1:63" ht="15" x14ac:dyDescent="0.25">
      <c r="A7" s="10" t="s">
        <v>50</v>
      </c>
      <c r="B7" s="10">
        <v>23.61</v>
      </c>
      <c r="C7" s="10">
        <v>0.219</v>
      </c>
      <c r="D7" s="17">
        <f t="shared" si="0"/>
        <v>78.092613009922815</v>
      </c>
      <c r="E7" s="17">
        <f t="shared" si="0"/>
        <v>61.21866897147796</v>
      </c>
      <c r="F7" s="17">
        <f t="shared" si="0"/>
        <v>50.34115138592751</v>
      </c>
      <c r="G7" s="17">
        <f t="shared" si="0"/>
        <v>42.745926372963183</v>
      </c>
      <c r="H7" s="17">
        <f t="shared" si="0"/>
        <v>37.142108023072886</v>
      </c>
      <c r="I7" s="17">
        <f t="shared" si="0"/>
        <v>32.837273991655074</v>
      </c>
      <c r="J7" s="17">
        <f t="shared" si="0"/>
        <v>29.426672206065639</v>
      </c>
      <c r="K7" s="17">
        <f t="shared" si="0"/>
        <v>26.65788483251788</v>
      </c>
      <c r="L7" s="17">
        <f t="shared" si="0"/>
        <v>24.36532507739938</v>
      </c>
      <c r="M7" s="17">
        <f t="shared" si="0"/>
        <v>22.435856826100729</v>
      </c>
      <c r="N7" s="17">
        <f t="shared" si="0"/>
        <v>20.78955092456707</v>
      </c>
      <c r="O7" s="17">
        <f t="shared" si="0"/>
        <v>19.368334700574238</v>
      </c>
      <c r="P7" s="17">
        <f t="shared" si="1"/>
        <v>18.128999232147429</v>
      </c>
      <c r="Q7" s="17">
        <f t="shared" si="1"/>
        <v>17.038729853259561</v>
      </c>
      <c r="R7" s="17">
        <f t="shared" si="1"/>
        <v>16.072157930565009</v>
      </c>
      <c r="S7" s="17">
        <f t="shared" si="1"/>
        <v>15.209362250375777</v>
      </c>
      <c r="T7" s="17">
        <f t="shared" si="1"/>
        <v>14.434481353168941</v>
      </c>
      <c r="U7" s="17">
        <f t="shared" si="1"/>
        <v>13.734729493891797</v>
      </c>
      <c r="V7" s="17">
        <f t="shared" si="1"/>
        <v>13.099685592750138</v>
      </c>
      <c r="W7" s="17">
        <f t="shared" si="1"/>
        <v>12.520770726533497</v>
      </c>
      <c r="X7" s="17">
        <f t="shared" si="1"/>
        <v>11.990858303707466</v>
      </c>
      <c r="Y7" s="17">
        <f t="shared" si="1"/>
        <v>11.503979210654538</v>
      </c>
      <c r="Z7" s="17">
        <f t="shared" si="1"/>
        <v>11.055095988762289</v>
      </c>
      <c r="AA7" s="17">
        <f t="shared" si="1"/>
        <v>10.6399278954484</v>
      </c>
      <c r="AB7" s="17">
        <f t="shared" si="1"/>
        <v>10.254813956855363</v>
      </c>
      <c r="AC7" s="17">
        <f t="shared" si="1"/>
        <v>9.8966047226491565</v>
      </c>
      <c r="AD7" s="17">
        <f t="shared" si="1"/>
        <v>9.5625759416767924</v>
      </c>
      <c r="AE7" s="17">
        <f t="shared" si="1"/>
        <v>9.2503591484915759</v>
      </c>
      <c r="AF7" s="17">
        <f t="shared" si="2"/>
        <v>8.9578854179840661</v>
      </c>
      <c r="AG7" s="17">
        <f t="shared" si="3"/>
        <v>8.683339463037882</v>
      </c>
      <c r="AH7" s="17">
        <f t="shared" si="3"/>
        <v>8.4251219222076834</v>
      </c>
      <c r="AI7" s="17">
        <f t="shared" si="3"/>
        <v>8.1818181818181817</v>
      </c>
      <c r="AJ7" s="17">
        <f t="shared" si="3"/>
        <v>7.9521724486359044</v>
      </c>
      <c r="AK7" s="17">
        <f t="shared" si="3"/>
        <v>7.7350660696734739</v>
      </c>
      <c r="AL7" s="17">
        <f t="shared" si="3"/>
        <v>7.5294993090251943</v>
      </c>
      <c r="AM7" s="17">
        <f t="shared" si="3"/>
        <v>7.3345759552656107</v>
      </c>
      <c r="AN7" s="17">
        <f t="shared" si="3"/>
        <v>7.149490259412536</v>
      </c>
      <c r="AO7" s="17">
        <f t="shared" si="3"/>
        <v>6.973515801910013</v>
      </c>
      <c r="AP7" s="17">
        <f t="shared" si="3"/>
        <v>6.8059959642548282</v>
      </c>
      <c r="AQ7" s="17">
        <f t="shared" si="3"/>
        <v>6.6463357417659754</v>
      </c>
      <c r="AR7" s="17">
        <f t="shared" si="3"/>
        <v>6.4939946823141108</v>
      </c>
      <c r="AS7" s="17">
        <f t="shared" si="3"/>
        <v>6.3484807744017209</v>
      </c>
      <c r="AT7" s="17">
        <f t="shared" si="3"/>
        <v>6.2093451389497671</v>
      </c>
      <c r="AU7" s="17">
        <f t="shared" si="3"/>
        <v>6.0761774041348549</v>
      </c>
      <c r="AV7" s="17">
        <f t="shared" si="3"/>
        <v>5.948601662887377</v>
      </c>
      <c r="AW7" s="17">
        <f t="shared" si="3"/>
        <v>5.8262729291766062</v>
      </c>
      <c r="AX7" s="17">
        <f t="shared" si="3"/>
        <v>5.7088740227291046</v>
      </c>
      <c r="AY7" s="17">
        <f t="shared" si="3"/>
        <v>5.5961128229438248</v>
      </c>
      <c r="AZ7" s="17">
        <f t="shared" si="3"/>
        <v>5.4877198419462303</v>
      </c>
      <c r="BA7" s="17">
        <f t="shared" si="3"/>
        <v>5.3834460743330537</v>
      </c>
      <c r="BB7" s="17">
        <f t="shared" si="3"/>
        <v>5.2830610874916086</v>
      </c>
      <c r="BC7" s="17">
        <f t="shared" si="3"/>
        <v>5.1863513216665442</v>
      </c>
      <c r="BD7" s="17">
        <f t="shared" si="3"/>
        <v>5.0931185733803117</v>
      </c>
      <c r="BE7" s="17">
        <f t="shared" si="3"/>
        <v>5.0031786395422753</v>
      </c>
      <c r="BF7" s="17">
        <f t="shared" si="3"/>
        <v>4.9163601027278405</v>
      </c>
      <c r="BG7" s="17">
        <f t="shared" si="3"/>
        <v>4.8325032407723265</v>
      </c>
      <c r="BH7" s="17">
        <f t="shared" si="3"/>
        <v>4.7514590460857313</v>
      </c>
      <c r="BI7" s="17">
        <f t="shared" si="3"/>
        <v>4.673088342020189</v>
      </c>
      <c r="BJ7" s="17">
        <f t="shared" si="3"/>
        <v>4.5972609852664368</v>
      </c>
      <c r="BK7" s="17">
        <f t="shared" si="3"/>
        <v>4.5238551446637283</v>
      </c>
    </row>
    <row r="8" spans="1:63" ht="15" x14ac:dyDescent="0.25">
      <c r="A8" s="10" t="s">
        <v>51</v>
      </c>
      <c r="B8" s="10">
        <v>30.23</v>
      </c>
      <c r="C8" s="10">
        <v>0.23100000000000001</v>
      </c>
      <c r="D8" s="17">
        <f t="shared" si="0"/>
        <v>96.171792152704128</v>
      </c>
      <c r="E8" s="17">
        <f t="shared" si="0"/>
        <v>76.018440905280812</v>
      </c>
      <c r="F8" s="17">
        <f t="shared" si="0"/>
        <v>62.848232848232854</v>
      </c>
      <c r="G8" s="17">
        <f t="shared" si="0"/>
        <v>53.567631423508566</v>
      </c>
      <c r="H8" s="17">
        <f t="shared" si="0"/>
        <v>46.675244467318578</v>
      </c>
      <c r="I8" s="17">
        <f t="shared" si="0"/>
        <v>41.354309165526679</v>
      </c>
      <c r="J8" s="17">
        <f t="shared" si="0"/>
        <v>37.12239050347933</v>
      </c>
      <c r="K8" s="17">
        <f t="shared" si="0"/>
        <v>33.676197549201639</v>
      </c>
      <c r="L8" s="17">
        <f t="shared" si="0"/>
        <v>30.815494393476047</v>
      </c>
      <c r="M8" s="17">
        <f t="shared" si="0"/>
        <v>28.402756028813027</v>
      </c>
      <c r="N8" s="17">
        <f t="shared" si="0"/>
        <v>26.340400813244266</v>
      </c>
      <c r="O8" s="17">
        <f t="shared" si="0"/>
        <v>24.557270511779041</v>
      </c>
      <c r="P8" s="17">
        <f t="shared" si="1"/>
        <v>23.000253613999494</v>
      </c>
      <c r="Q8" s="17">
        <f t="shared" si="1"/>
        <v>21.628905318387787</v>
      </c>
      <c r="R8" s="17">
        <f t="shared" si="2"/>
        <v>20.41188386225523</v>
      </c>
      <c r="S8" s="17">
        <f t="shared" si="2"/>
        <v>19.324525889622844</v>
      </c>
      <c r="T8" s="17">
        <f t="shared" si="2"/>
        <v>18.347157596601253</v>
      </c>
      <c r="U8" s="17">
        <f t="shared" si="2"/>
        <v>17.463893703061814</v>
      </c>
      <c r="V8" s="17">
        <f t="shared" si="2"/>
        <v>16.661767407679587</v>
      </c>
      <c r="W8" s="17">
        <f t="shared" si="2"/>
        <v>15.930089583699278</v>
      </c>
      <c r="X8" s="17">
        <f t="shared" si="2"/>
        <v>15.259969712266532</v>
      </c>
      <c r="Y8" s="17">
        <f t="shared" si="2"/>
        <v>14.643952849991926</v>
      </c>
      <c r="Z8" s="17">
        <f t="shared" si="2"/>
        <v>14.075741114387707</v>
      </c>
      <c r="AA8" s="17">
        <f t="shared" si="2"/>
        <v>13.549977588525326</v>
      </c>
      <c r="AB8" s="17">
        <f t="shared" si="2"/>
        <v>13.062076911997696</v>
      </c>
      <c r="AC8" s="17">
        <f t="shared" si="2"/>
        <v>12.608091199777563</v>
      </c>
      <c r="AD8" s="17">
        <f t="shared" si="2"/>
        <v>12.184602982668279</v>
      </c>
      <c r="AE8" s="17">
        <f t="shared" si="2"/>
        <v>11.788639022487976</v>
      </c>
      <c r="AF8" s="17">
        <f t="shared" si="2"/>
        <v>11.417600402870454</v>
      </c>
      <c r="AG8" s="17">
        <f t="shared" si="3"/>
        <v>11.069205419260346</v>
      </c>
      <c r="AH8" s="17">
        <f t="shared" si="3"/>
        <v>10.741442615184177</v>
      </c>
      <c r="AI8" s="17">
        <f t="shared" si="3"/>
        <v>10.432531922236283</v>
      </c>
      <c r="AJ8" s="17">
        <f t="shared" si="3"/>
        <v>10.140892318014091</v>
      </c>
      <c r="AK8" s="17">
        <f t="shared" si="3"/>
        <v>9.8651147612313714</v>
      </c>
      <c r="AL8" s="17">
        <f t="shared" si="3"/>
        <v>9.6039394260298643</v>
      </c>
      <c r="AM8" s="17">
        <f t="shared" si="3"/>
        <v>9.3562364593005274</v>
      </c>
      <c r="AN8" s="17">
        <f t="shared" si="3"/>
        <v>9.1209896409534341</v>
      </c>
      <c r="AO8" s="17">
        <f t="shared" si="3"/>
        <v>8.8972824487393325</v>
      </c>
      <c r="AP8" s="17">
        <f t="shared" si="3"/>
        <v>8.6842861246768166</v>
      </c>
      <c r="AQ8" s="17">
        <f t="shared" si="3"/>
        <v>8.4812494155054701</v>
      </c>
      <c r="AR8" s="17">
        <f t="shared" si="3"/>
        <v>8.2874897194553601</v>
      </c>
      <c r="AS8" s="17">
        <f t="shared" si="3"/>
        <v>8.1023854194585905</v>
      </c>
      <c r="AT8" s="17">
        <f t="shared" si="3"/>
        <v>7.9253692213580358</v>
      </c>
      <c r="AU8" s="17">
        <f t="shared" si="3"/>
        <v>7.7559223467031568</v>
      </c>
      <c r="AV8" s="17">
        <f t="shared" si="3"/>
        <v>7.5935694549108268</v>
      </c>
      <c r="AW8" s="17">
        <f t="shared" si="3"/>
        <v>7.4378741901090786</v>
      </c>
      <c r="AX8" s="17">
        <f t="shared" si="3"/>
        <v>7.2884352648075224</v>
      </c>
      <c r="AY8" s="17">
        <f t="shared" si="3"/>
        <v>7.1448830063814706</v>
      </c>
      <c r="AZ8" s="17">
        <f t="shared" si="3"/>
        <v>7.0068763037935575</v>
      </c>
      <c r="BA8" s="17">
        <f t="shared" si="3"/>
        <v>6.8740999014628965</v>
      </c>
      <c r="BB8" s="17">
        <f t="shared" si="3"/>
        <v>6.7462619950903822</v>
      </c>
      <c r="BC8" s="17">
        <f t="shared" si="3"/>
        <v>6.6230920908493394</v>
      </c>
      <c r="BD8" s="17">
        <f t="shared" si="3"/>
        <v>6.5043390948863227</v>
      </c>
      <c r="BE8" s="17">
        <f t="shared" si="3"/>
        <v>6.3897696047347283</v>
      </c>
      <c r="BF8" s="17">
        <f t="shared" si="3"/>
        <v>6.2791663781762797</v>
      </c>
      <c r="BG8" s="17">
        <f t="shared" si="3"/>
        <v>6.1723269584155718</v>
      </c>
      <c r="BH8" s="17">
        <f t="shared" si="3"/>
        <v>6.0690624372615947</v>
      </c>
      <c r="BI8" s="17">
        <f t="shared" si="3"/>
        <v>5.9691963404199306</v>
      </c>
      <c r="BJ8" s="17">
        <f t="shared" si="3"/>
        <v>5.8725636210580845</v>
      </c>
      <c r="BK8" s="17">
        <f t="shared" si="3"/>
        <v>5.7790097495698722</v>
      </c>
    </row>
    <row r="9" spans="1:63" s="38" customFormat="1" ht="15" x14ac:dyDescent="0.25">
      <c r="A9" s="52" t="s">
        <v>52</v>
      </c>
      <c r="B9" s="52">
        <v>39.020000000000003</v>
      </c>
      <c r="C9" s="52">
        <v>0.24099999999999999</v>
      </c>
      <c r="D9" s="18">
        <f>$B9/((D$3/60)+$C9)</f>
        <v>120.30832476875645</v>
      </c>
      <c r="E9" s="18">
        <f t="shared" si="0"/>
        <v>95.715453802125936</v>
      </c>
      <c r="F9" s="18">
        <f t="shared" si="0"/>
        <v>79.470468431771906</v>
      </c>
      <c r="G9" s="18">
        <f t="shared" si="0"/>
        <v>67.93964016250726</v>
      </c>
      <c r="H9" s="18">
        <f t="shared" si="0"/>
        <v>59.330968068930574</v>
      </c>
      <c r="I9" s="18">
        <f t="shared" si="0"/>
        <v>52.658569500674766</v>
      </c>
      <c r="J9" s="18">
        <f t="shared" si="0"/>
        <v>47.335220380105135</v>
      </c>
      <c r="K9" s="18">
        <f t="shared" si="0"/>
        <v>42.989349981637908</v>
      </c>
      <c r="L9" s="18">
        <f t="shared" si="0"/>
        <v>39.374369323915239</v>
      </c>
      <c r="M9" s="18">
        <f t="shared" si="0"/>
        <v>36.320198572758301</v>
      </c>
      <c r="N9" s="18">
        <f t="shared" si="0"/>
        <v>33.705729916498711</v>
      </c>
      <c r="O9" s="18">
        <f t="shared" si="0"/>
        <v>31.442385173247381</v>
      </c>
      <c r="P9" s="18">
        <f t="shared" si="1"/>
        <v>29.463881198087094</v>
      </c>
      <c r="Q9" s="18">
        <f t="shared" si="1"/>
        <v>27.719630594364197</v>
      </c>
      <c r="R9" s="18">
        <f t="shared" si="2"/>
        <v>26.170355466130115</v>
      </c>
      <c r="S9" s="18">
        <f t="shared" si="2"/>
        <v>24.785094219775573</v>
      </c>
      <c r="T9" s="18">
        <f t="shared" si="2"/>
        <v>23.539111200482608</v>
      </c>
      <c r="U9" s="18">
        <f t="shared" si="2"/>
        <v>22.412406662837451</v>
      </c>
      <c r="V9" s="18">
        <f t="shared" si="2"/>
        <v>21.388635117851273</v>
      </c>
      <c r="W9" s="18">
        <f t="shared" si="2"/>
        <v>20.454307181548142</v>
      </c>
      <c r="X9" s="18">
        <f t="shared" si="2"/>
        <v>19.598191863385235</v>
      </c>
      <c r="Y9" s="18">
        <f t="shared" si="2"/>
        <v>18.810862927848309</v>
      </c>
      <c r="Z9" s="18">
        <f t="shared" si="2"/>
        <v>18.084350378495291</v>
      </c>
      <c r="AA9" s="18">
        <f t="shared" si="2"/>
        <v>17.41186970102633</v>
      </c>
      <c r="AB9" s="18">
        <f t="shared" si="2"/>
        <v>16.787609350351353</v>
      </c>
      <c r="AC9" s="18">
        <f t="shared" si="2"/>
        <v>16.206562370206289</v>
      </c>
      <c r="AD9" s="18">
        <f t="shared" si="2"/>
        <v>15.664391810517865</v>
      </c>
      <c r="AE9" s="18">
        <f t="shared" si="2"/>
        <v>15.157322284086495</v>
      </c>
      <c r="AF9" s="18">
        <f t="shared" si="2"/>
        <v>14.682051925247713</v>
      </c>
      <c r="AG9" s="18">
        <f t="shared" si="3"/>
        <v>14.235680408609998</v>
      </c>
      <c r="AH9" s="18">
        <f t="shared" si="3"/>
        <v>13.815649710846218</v>
      </c>
      <c r="AI9" s="18">
        <f t="shared" si="3"/>
        <v>13.419695059039322</v>
      </c>
      <c r="AJ9" s="18">
        <f t="shared" si="3"/>
        <v>13.045804078903377</v>
      </c>
      <c r="AK9" s="18">
        <f t="shared" si="3"/>
        <v>12.692182587010734</v>
      </c>
      <c r="AL9" s="18">
        <f t="shared" si="3"/>
        <v>12.357225799641085</v>
      </c>
      <c r="AM9" s="18">
        <f t="shared" si="3"/>
        <v>12.039493983338476</v>
      </c>
      <c r="AN9" s="18">
        <f t="shared" si="3"/>
        <v>11.737691767772986</v>
      </c>
      <c r="AO9" s="18">
        <f t="shared" si="3"/>
        <v>11.450650493984154</v>
      </c>
      <c r="AP9" s="18">
        <f t="shared" si="3"/>
        <v>11.177313090804928</v>
      </c>
      <c r="AQ9" s="18">
        <f t="shared" si="3"/>
        <v>10.916721066865616</v>
      </c>
      <c r="AR9" s="18">
        <f t="shared" si="3"/>
        <v>10.668003280780098</v>
      </c>
      <c r="AS9" s="18">
        <f t="shared" si="3"/>
        <v>10.430366212242717</v>
      </c>
      <c r="AT9" s="18">
        <f t="shared" si="3"/>
        <v>10.203085505098928</v>
      </c>
      <c r="AU9" s="18">
        <f t="shared" si="3"/>
        <v>9.9854985925104511</v>
      </c>
      <c r="AV9" s="18">
        <f t="shared" si="3"/>
        <v>9.7769982460536209</v>
      </c>
      <c r="AW9" s="18">
        <f t="shared" si="3"/>
        <v>9.5770269164689523</v>
      </c>
      <c r="AX9" s="18">
        <f t="shared" si="3"/>
        <v>9.3850717549907809</v>
      </c>
      <c r="AY9" s="18">
        <f t="shared" si="3"/>
        <v>9.2006602216458404</v>
      </c>
      <c r="AZ9" s="18">
        <f t="shared" si="3"/>
        <v>9.0233562013412492</v>
      </c>
      <c r="BA9" s="18">
        <f t="shared" si="3"/>
        <v>8.8527565605384559</v>
      </c>
      <c r="BB9" s="18">
        <f t="shared" si="3"/>
        <v>8.688488087285684</v>
      </c>
      <c r="BC9" s="18">
        <f t="shared" si="3"/>
        <v>8.5302047657217823</v>
      </c>
      <c r="BD9" s="18">
        <f t="shared" si="3"/>
        <v>8.3775853431618135</v>
      </c>
      <c r="BE9" s="18">
        <f t="shared" si="3"/>
        <v>8.2303311537650305</v>
      </c>
      <c r="BF9" s="18">
        <f t="shared" si="3"/>
        <v>8.0881641677606595</v>
      </c>
      <c r="BG9" s="18">
        <f t="shared" si="3"/>
        <v>7.9508252394213139</v>
      </c>
      <c r="BH9" s="18">
        <f t="shared" si="3"/>
        <v>7.8180725305549998</v>
      </c>
      <c r="BI9" s="18">
        <f t="shared" si="3"/>
        <v>7.6896800893385029</v>
      </c>
      <c r="BJ9" s="18">
        <f t="shared" si="3"/>
        <v>7.5654365669230277</v>
      </c>
      <c r="BK9" s="18">
        <f t="shared" si="3"/>
        <v>7.4451440564777727</v>
      </c>
    </row>
    <row r="10" spans="1:63" ht="15" x14ac:dyDescent="0.25">
      <c r="A10" s="10" t="s">
        <v>53</v>
      </c>
      <c r="B10" s="10">
        <v>45.66</v>
      </c>
      <c r="C10" s="10">
        <v>0.247</v>
      </c>
      <c r="D10" s="17">
        <f t="shared" si="0"/>
        <v>138.22401614530776</v>
      </c>
      <c r="E10" s="17">
        <f t="shared" si="0"/>
        <v>110.37872683319904</v>
      </c>
      <c r="F10" s="17">
        <f t="shared" si="0"/>
        <v>91.871227364185103</v>
      </c>
      <c r="G10" s="17">
        <f t="shared" si="0"/>
        <v>78.678920160827104</v>
      </c>
      <c r="H10" s="17">
        <f t="shared" si="0"/>
        <v>68.799598191863382</v>
      </c>
      <c r="I10" s="17">
        <f t="shared" si="0"/>
        <v>61.124497991967864</v>
      </c>
      <c r="J10" s="17">
        <f t="shared" si="0"/>
        <v>54.989963869931749</v>
      </c>
      <c r="K10" s="17">
        <f t="shared" si="0"/>
        <v>49.974461875228016</v>
      </c>
      <c r="L10" s="17">
        <f t="shared" si="0"/>
        <v>45.797392176529584</v>
      </c>
      <c r="M10" s="17">
        <f t="shared" si="0"/>
        <v>42.264733107065716</v>
      </c>
      <c r="N10" s="17">
        <f t="shared" si="0"/>
        <v>39.238040676024063</v>
      </c>
      <c r="O10" s="17">
        <f t="shared" si="0"/>
        <v>36.615878107457903</v>
      </c>
      <c r="P10" s="17">
        <f t="shared" si="1"/>
        <v>34.322225006264091</v>
      </c>
      <c r="Q10" s="17">
        <f t="shared" si="1"/>
        <v>32.298986088186744</v>
      </c>
      <c r="R10" s="17">
        <f t="shared" si="2"/>
        <v>30.501002004008015</v>
      </c>
      <c r="S10" s="17">
        <f t="shared" si="2"/>
        <v>28.892638683821975</v>
      </c>
      <c r="T10" s="17">
        <f t="shared" si="2"/>
        <v>27.445401723101579</v>
      </c>
      <c r="U10" s="17">
        <f t="shared" si="2"/>
        <v>26.136233543216942</v>
      </c>
      <c r="V10" s="17">
        <f t="shared" si="2"/>
        <v>24.946275723911853</v>
      </c>
      <c r="W10" s="17">
        <f t="shared" si="2"/>
        <v>23.859954711722693</v>
      </c>
      <c r="X10" s="17">
        <f t="shared" si="2"/>
        <v>22.864296444667001</v>
      </c>
      <c r="Y10" s="17">
        <f t="shared" si="2"/>
        <v>21.948405704214068</v>
      </c>
      <c r="Z10" s="17">
        <f t="shared" si="2"/>
        <v>21.103065783392385</v>
      </c>
      <c r="AA10" s="17">
        <f t="shared" si="2"/>
        <v>20.320427236315087</v>
      </c>
      <c r="AB10" s="17">
        <f t="shared" si="2"/>
        <v>19.593763410098695</v>
      </c>
      <c r="AC10" s="17">
        <f t="shared" si="2"/>
        <v>18.917276619251485</v>
      </c>
      <c r="AD10" s="17">
        <f t="shared" si="2"/>
        <v>18.28594313175811</v>
      </c>
      <c r="AE10" s="17">
        <f t="shared" si="2"/>
        <v>17.695388192739955</v>
      </c>
      <c r="AF10" s="17">
        <f t="shared" si="2"/>
        <v>17.141784507571018</v>
      </c>
      <c r="AG10" s="17">
        <f t="shared" si="3"/>
        <v>16.621769202766654</v>
      </c>
      <c r="AH10" s="17">
        <f t="shared" si="3"/>
        <v>16.132375456365562</v>
      </c>
      <c r="AI10" s="17">
        <f t="shared" si="3"/>
        <v>15.670975860885482</v>
      </c>
      <c r="AJ10" s="17">
        <f t="shared" si="3"/>
        <v>15.235235235235235</v>
      </c>
      <c r="AK10" s="17">
        <f t="shared" si="3"/>
        <v>14.823071096201708</v>
      </c>
      <c r="AL10" s="17">
        <f t="shared" si="3"/>
        <v>14.432620377199452</v>
      </c>
      <c r="AM10" s="17">
        <f t="shared" si="3"/>
        <v>14.062211271943331</v>
      </c>
      <c r="AN10" s="17">
        <f t="shared" si="3"/>
        <v>13.710339305374836</v>
      </c>
      <c r="AO10" s="17">
        <f t="shared" si="3"/>
        <v>13.375646909481496</v>
      </c>
      <c r="AP10" s="17">
        <f t="shared" si="3"/>
        <v>13.056905919359451</v>
      </c>
      <c r="AQ10" s="17">
        <f t="shared" si="3"/>
        <v>12.753002513732426</v>
      </c>
      <c r="AR10" s="17">
        <f t="shared" si="3"/>
        <v>12.46292421071786</v>
      </c>
      <c r="AS10" s="17">
        <f t="shared" si="3"/>
        <v>12.185748598879103</v>
      </c>
      <c r="AT10" s="17">
        <f t="shared" si="3"/>
        <v>11.920633539291618</v>
      </c>
      <c r="AU10" s="17">
        <f t="shared" si="3"/>
        <v>11.666808619368027</v>
      </c>
      <c r="AV10" s="17">
        <f t="shared" si="3"/>
        <v>11.423567675756818</v>
      </c>
      <c r="AW10" s="17">
        <f t="shared" si="3"/>
        <v>11.190262233477656</v>
      </c>
      <c r="AX10" s="17">
        <f t="shared" si="3"/>
        <v>10.966295732927707</v>
      </c>
      <c r="AY10" s="17">
        <f t="shared" si="3"/>
        <v>10.751118436543441</v>
      </c>
      <c r="AZ10" s="17">
        <f t="shared" si="3"/>
        <v>10.544222923562467</v>
      </c>
      <c r="BA10" s="17">
        <f t="shared" si="3"/>
        <v>10.345140095158975</v>
      </c>
      <c r="BB10" s="17">
        <f t="shared" si="3"/>
        <v>10.153435623749166</v>
      </c>
      <c r="BC10" s="17">
        <f t="shared" si="3"/>
        <v>9.9687067898988424</v>
      </c>
      <c r="BD10" s="17">
        <f t="shared" si="3"/>
        <v>9.7905796583517972</v>
      </c>
      <c r="BE10" s="17">
        <f t="shared" si="3"/>
        <v>9.6187065515062145</v>
      </c>
      <c r="BF10" s="17">
        <f t="shared" si="3"/>
        <v>9.4527637844179146</v>
      </c>
      <c r="BG10" s="17">
        <f t="shared" si="3"/>
        <v>9.2924496302828832</v>
      </c>
      <c r="BH10" s="17">
        <f t="shared" si="3"/>
        <v>9.1374824894936957</v>
      </c>
      <c r="BI10" s="17">
        <f t="shared" si="3"/>
        <v>8.9875992388950863</v>
      </c>
      <c r="BJ10" s="17">
        <f t="shared" si="3"/>
        <v>8.8425537408818009</v>
      </c>
      <c r="BK10" s="17">
        <f t="shared" si="3"/>
        <v>8.702115494568325</v>
      </c>
    </row>
    <row r="11" spans="1:63" ht="15" x14ac:dyDescent="0.25">
      <c r="A11" s="10" t="s">
        <v>54</v>
      </c>
      <c r="B11" s="10">
        <v>52.92</v>
      </c>
      <c r="C11" s="10">
        <v>0.251</v>
      </c>
      <c r="D11" s="17">
        <f t="shared" si="0"/>
        <v>158.28514456630111</v>
      </c>
      <c r="E11" s="17">
        <f t="shared" si="0"/>
        <v>126.70391061452516</v>
      </c>
      <c r="F11" s="17">
        <f t="shared" si="0"/>
        <v>105.62874251497006</v>
      </c>
      <c r="G11" s="17">
        <f t="shared" si="0"/>
        <v>90.564746149458074</v>
      </c>
      <c r="H11" s="17">
        <f t="shared" si="0"/>
        <v>79.261108337493766</v>
      </c>
      <c r="I11" s="17">
        <f t="shared" si="0"/>
        <v>70.466045272969382</v>
      </c>
      <c r="J11" s="17">
        <f t="shared" si="0"/>
        <v>63.427886536156613</v>
      </c>
      <c r="K11" s="17">
        <f t="shared" si="0"/>
        <v>57.667998547039595</v>
      </c>
      <c r="L11" s="17">
        <f t="shared" si="0"/>
        <v>52.867132867132874</v>
      </c>
      <c r="M11" s="17">
        <f t="shared" si="0"/>
        <v>48.804180756225023</v>
      </c>
      <c r="N11" s="17">
        <f t="shared" si="0"/>
        <v>45.321153297173851</v>
      </c>
      <c r="O11" s="17">
        <f t="shared" si="0"/>
        <v>42.302158273381302</v>
      </c>
      <c r="P11" s="17">
        <f t="shared" si="1"/>
        <v>39.660254808893328</v>
      </c>
      <c r="Q11" s="17">
        <f t="shared" si="1"/>
        <v>37.32894427462967</v>
      </c>
      <c r="R11" s="17">
        <f t="shared" si="2"/>
        <v>35.256495669553637</v>
      </c>
      <c r="S11" s="17">
        <f t="shared" si="2"/>
        <v>33.402061855670105</v>
      </c>
      <c r="T11" s="17">
        <f t="shared" si="2"/>
        <v>31.732960223865678</v>
      </c>
      <c r="U11" s="17">
        <f t="shared" si="2"/>
        <v>30.222729868646489</v>
      </c>
      <c r="V11" s="17">
        <f t="shared" si="2"/>
        <v>28.849718335453389</v>
      </c>
      <c r="W11" s="17">
        <f t="shared" si="2"/>
        <v>27.596036850338951</v>
      </c>
      <c r="X11" s="17">
        <f t="shared" si="2"/>
        <v>26.446776611694155</v>
      </c>
      <c r="Y11" s="17">
        <f t="shared" si="2"/>
        <v>25.389413081720775</v>
      </c>
      <c r="Z11" s="17">
        <f t="shared" si="2"/>
        <v>24.413347685683529</v>
      </c>
      <c r="AA11" s="17">
        <f t="shared" si="2"/>
        <v>23.509551310528657</v>
      </c>
      <c r="AB11" s="17">
        <f t="shared" si="2"/>
        <v>22.670284163929743</v>
      </c>
      <c r="AC11" s="17">
        <f t="shared" si="2"/>
        <v>21.888873569557429</v>
      </c>
      <c r="AD11" s="17">
        <f t="shared" si="2"/>
        <v>21.159536185525791</v>
      </c>
      <c r="AE11" s="17">
        <f t="shared" si="2"/>
        <v>20.477234618857217</v>
      </c>
      <c r="AF11" s="17">
        <f t="shared" si="2"/>
        <v>19.837560914657008</v>
      </c>
      <c r="AG11" s="17">
        <f t="shared" si="3"/>
        <v>19.236641221374047</v>
      </c>
      <c r="AH11" s="17">
        <f t="shared" si="3"/>
        <v>18.67105727390333</v>
      </c>
      <c r="AI11" s="17">
        <f t="shared" si="3"/>
        <v>18.137781332114706</v>
      </c>
      <c r="AJ11" s="17">
        <f t="shared" si="3"/>
        <v>17.634121959346885</v>
      </c>
      <c r="AK11" s="17">
        <f t="shared" si="3"/>
        <v>17.157678590727333</v>
      </c>
      <c r="AL11" s="17">
        <f t="shared" si="3"/>
        <v>16.706303272650743</v>
      </c>
      <c r="AM11" s="17">
        <f t="shared" si="3"/>
        <v>16.278068286681023</v>
      </c>
      <c r="AN11" s="17">
        <f t="shared" si="3"/>
        <v>15.871238628411477</v>
      </c>
      <c r="AO11" s="17">
        <f t="shared" si="3"/>
        <v>15.484248512630451</v>
      </c>
      <c r="AP11" s="17">
        <f t="shared" si="3"/>
        <v>15.115681233933163</v>
      </c>
      <c r="AQ11" s="17">
        <f t="shared" si="3"/>
        <v>14.764251836696737</v>
      </c>
      <c r="AR11" s="17">
        <f t="shared" si="3"/>
        <v>14.428792147596111</v>
      </c>
      <c r="AS11" s="17">
        <f t="shared" si="3"/>
        <v>14.108237803252466</v>
      </c>
      <c r="AT11" s="17">
        <f t="shared" si="3"/>
        <v>13.801616969486222</v>
      </c>
      <c r="AU11" s="17">
        <f t="shared" si="3"/>
        <v>13.508040500297797</v>
      </c>
      <c r="AV11" s="17">
        <f t="shared" si="3"/>
        <v>13.226693326668332</v>
      </c>
      <c r="AW11" s="17">
        <f t="shared" si="3"/>
        <v>12.956826899534809</v>
      </c>
      <c r="AX11" s="17">
        <f t="shared" si="3"/>
        <v>12.697752539390548</v>
      </c>
      <c r="AY11" s="17">
        <f t="shared" si="3"/>
        <v>12.448835568101623</v>
      </c>
      <c r="AZ11" s="17">
        <f t="shared" si="3"/>
        <v>12.209490117665155</v>
      </c>
      <c r="BA11" s="17">
        <f t="shared" si="3"/>
        <v>11.979174526522295</v>
      </c>
      <c r="BB11" s="17">
        <f t="shared" si="3"/>
        <v>11.757387247278382</v>
      </c>
      <c r="BC11" s="17">
        <f t="shared" si="3"/>
        <v>11.5436632007562</v>
      </c>
      <c r="BD11" s="17">
        <f t="shared" si="3"/>
        <v>11.337570520602727</v>
      </c>
      <c r="BE11" s="17">
        <f t="shared" si="3"/>
        <v>11.138707640496737</v>
      </c>
      <c r="BF11" s="17">
        <f t="shared" si="3"/>
        <v>10.94670068261739</v>
      </c>
      <c r="BG11" s="17">
        <f t="shared" si="3"/>
        <v>10.761201111638309</v>
      </c>
      <c r="BH11" s="17">
        <f t="shared" si="3"/>
        <v>10.581883623275344</v>
      </c>
      <c r="BI11" s="17">
        <f t="shared" si="3"/>
        <v>10.408444240477284</v>
      </c>
      <c r="BJ11" s="17">
        <f t="shared" si="3"/>
        <v>10.24059859382055</v>
      </c>
      <c r="BK11" s="17">
        <f t="shared" si="3"/>
        <v>10.078080365644638</v>
      </c>
    </row>
    <row r="14" spans="1:63" ht="15" x14ac:dyDescent="0.25">
      <c r="J14" s="3"/>
    </row>
    <row r="15" spans="1:63" ht="18" x14ac:dyDescent="0.35">
      <c r="A15" s="22" t="s">
        <v>62</v>
      </c>
    </row>
    <row r="16" spans="1:63" ht="15" x14ac:dyDescent="0.25">
      <c r="A16" s="16"/>
      <c r="B16" s="16" t="s">
        <v>6</v>
      </c>
      <c r="C16" s="16" t="s">
        <v>7</v>
      </c>
      <c r="D16" s="26" t="s">
        <v>8</v>
      </c>
      <c r="E16" s="16" t="s">
        <v>9</v>
      </c>
      <c r="F16" s="4" t="s">
        <v>10</v>
      </c>
      <c r="G16" s="16" t="s">
        <v>11</v>
      </c>
      <c r="H16" s="5" t="s">
        <v>12</v>
      </c>
    </row>
    <row r="17" spans="1:9" x14ac:dyDescent="0.3">
      <c r="A17" s="27" t="s">
        <v>65</v>
      </c>
      <c r="B17" s="27" t="s">
        <v>5</v>
      </c>
      <c r="C17" s="27" t="s">
        <v>5</v>
      </c>
      <c r="D17" s="27" t="s">
        <v>5</v>
      </c>
      <c r="E17" s="27" t="s">
        <v>5</v>
      </c>
      <c r="F17" s="28" t="s">
        <v>5</v>
      </c>
      <c r="G17" s="27" t="s">
        <v>5</v>
      </c>
      <c r="H17" s="9" t="s">
        <v>5</v>
      </c>
    </row>
    <row r="18" spans="1:9" ht="15" x14ac:dyDescent="0.25">
      <c r="A18" s="10" t="s">
        <v>42</v>
      </c>
      <c r="B18" s="10">
        <v>220</v>
      </c>
      <c r="C18" s="10">
        <v>165</v>
      </c>
      <c r="D18" s="17">
        <v>105</v>
      </c>
      <c r="E18" s="10">
        <v>80</v>
      </c>
      <c r="F18" s="10">
        <v>65</v>
      </c>
      <c r="G18" s="10">
        <v>55</v>
      </c>
      <c r="H18" s="10">
        <v>50</v>
      </c>
      <c r="I18" s="2"/>
    </row>
    <row r="19" spans="1:9" ht="15" x14ac:dyDescent="0.25">
      <c r="A19" s="32" t="s">
        <v>56</v>
      </c>
      <c r="B19" s="32">
        <v>345</v>
      </c>
      <c r="C19" s="32">
        <v>260</v>
      </c>
      <c r="D19" s="33">
        <v>170</v>
      </c>
      <c r="E19" s="32">
        <v>130</v>
      </c>
      <c r="F19" s="32">
        <v>105</v>
      </c>
      <c r="G19" s="32">
        <v>90</v>
      </c>
      <c r="H19" s="32">
        <v>75</v>
      </c>
      <c r="I19" s="2"/>
    </row>
    <row r="20" spans="1:9" ht="15" x14ac:dyDescent="0.25">
      <c r="A20" s="10" t="s">
        <v>57</v>
      </c>
      <c r="B20" s="10">
        <v>410</v>
      </c>
      <c r="C20" s="10">
        <v>310</v>
      </c>
      <c r="D20" s="17">
        <v>210</v>
      </c>
      <c r="E20" s="10">
        <v>155</v>
      </c>
      <c r="F20" s="10">
        <v>125</v>
      </c>
      <c r="G20" s="10">
        <v>105</v>
      </c>
      <c r="H20" s="10">
        <v>95</v>
      </c>
      <c r="I20" s="2"/>
    </row>
    <row r="21" spans="1:9" ht="15" x14ac:dyDescent="0.25">
      <c r="A21" s="10" t="s">
        <v>58</v>
      </c>
      <c r="B21" s="10">
        <v>485</v>
      </c>
      <c r="C21" s="10">
        <v>370</v>
      </c>
      <c r="D21" s="17">
        <v>250</v>
      </c>
      <c r="E21" s="10">
        <v>180</v>
      </c>
      <c r="F21" s="10">
        <v>145</v>
      </c>
      <c r="G21" s="10">
        <v>120</v>
      </c>
      <c r="H21" s="10">
        <v>105</v>
      </c>
      <c r="I21" s="2"/>
    </row>
    <row r="22" spans="1:9" ht="15" x14ac:dyDescent="0.25">
      <c r="A22" s="10" t="s">
        <v>59</v>
      </c>
      <c r="B22" s="10">
        <v>525</v>
      </c>
      <c r="C22" s="10">
        <v>400</v>
      </c>
      <c r="D22" s="17">
        <v>270</v>
      </c>
      <c r="E22" s="10">
        <v>200</v>
      </c>
      <c r="F22" s="10">
        <v>160</v>
      </c>
      <c r="G22" s="10">
        <v>130</v>
      </c>
      <c r="H22" s="10">
        <v>115</v>
      </c>
      <c r="I22" s="2"/>
    </row>
    <row r="23" spans="1:9" ht="15" x14ac:dyDescent="0.25">
      <c r="A23" s="10" t="s">
        <v>60</v>
      </c>
      <c r="B23" s="10">
        <v>590</v>
      </c>
      <c r="C23" s="10">
        <v>450</v>
      </c>
      <c r="D23" s="17">
        <v>300</v>
      </c>
      <c r="E23" s="10">
        <v>225</v>
      </c>
      <c r="F23" s="10">
        <v>175</v>
      </c>
      <c r="G23" s="10">
        <v>145</v>
      </c>
      <c r="H23" s="10">
        <v>125</v>
      </c>
      <c r="I23" s="2"/>
    </row>
    <row r="24" spans="1:9" ht="15" x14ac:dyDescent="0.25">
      <c r="A24" s="10" t="s">
        <v>61</v>
      </c>
      <c r="B24" s="10">
        <v>680</v>
      </c>
      <c r="C24" s="10">
        <v>515</v>
      </c>
      <c r="D24" s="17">
        <v>350</v>
      </c>
      <c r="E24" s="10">
        <v>250</v>
      </c>
      <c r="F24" s="10">
        <v>205</v>
      </c>
      <c r="G24" s="10">
        <v>170</v>
      </c>
      <c r="H24" s="10">
        <v>150</v>
      </c>
      <c r="I24" s="2"/>
    </row>
    <row r="27" spans="1:9" ht="18" x14ac:dyDescent="0.35">
      <c r="A27" s="22" t="s">
        <v>69</v>
      </c>
      <c r="B27" t="str">
        <f>Berechnung_Retention!F33</f>
        <v/>
      </c>
      <c r="C27" t="s">
        <v>41</v>
      </c>
    </row>
    <row r="28" spans="1:9" ht="18" x14ac:dyDescent="0.35">
      <c r="A28" s="22" t="s">
        <v>79</v>
      </c>
      <c r="B28" t="str">
        <f>Berechnung_Retention!H33</f>
        <v/>
      </c>
      <c r="C28" t="s">
        <v>41</v>
      </c>
    </row>
    <row r="29" spans="1:9" ht="18.75" x14ac:dyDescent="0.3">
      <c r="A29" s="22"/>
    </row>
    <row r="30" spans="1:9" ht="18" x14ac:dyDescent="0.35">
      <c r="A30" s="22"/>
      <c r="B30" t="s">
        <v>70</v>
      </c>
      <c r="C30" t="s">
        <v>72</v>
      </c>
      <c r="D30" s="39"/>
      <c r="E30" s="39"/>
    </row>
    <row r="31" spans="1:9" ht="18.75" x14ac:dyDescent="0.3">
      <c r="A31" s="22"/>
      <c r="B31" t="s">
        <v>71</v>
      </c>
      <c r="C31" t="s">
        <v>71</v>
      </c>
      <c r="D31" s="39"/>
      <c r="E31" s="39"/>
    </row>
    <row r="32" spans="1:9" ht="18.75" x14ac:dyDescent="0.3">
      <c r="A32" s="37" t="s">
        <v>66</v>
      </c>
      <c r="B32" t="s">
        <v>73</v>
      </c>
      <c r="C32" t="s">
        <v>74</v>
      </c>
      <c r="D32" s="40"/>
      <c r="E32" s="40"/>
    </row>
    <row r="33" spans="1:61" ht="15" x14ac:dyDescent="0.25">
      <c r="A33" s="29" t="s">
        <v>43</v>
      </c>
      <c r="B33" s="30" t="e">
        <f>B19*$B$27/10000</f>
        <v>#VALUE!</v>
      </c>
      <c r="C33" s="30" t="e">
        <f>B19*B28/10000</f>
        <v>#VALUE!</v>
      </c>
      <c r="D33" s="40"/>
      <c r="E33" s="48"/>
      <c r="F33" s="1"/>
    </row>
    <row r="34" spans="1:61" ht="15" x14ac:dyDescent="0.25">
      <c r="A34" s="52" t="s">
        <v>52</v>
      </c>
      <c r="B34" s="35" t="e">
        <f>D9/60/60*B27</f>
        <v>#VALUE!</v>
      </c>
      <c r="C34" s="35" t="e">
        <f>D9/60/60*B28</f>
        <v>#VALUE!</v>
      </c>
      <c r="D34" s="40"/>
      <c r="E34" s="40"/>
      <c r="F34" s="1"/>
    </row>
    <row r="35" spans="1:61" ht="15" x14ac:dyDescent="0.25">
      <c r="A35" s="36"/>
    </row>
    <row r="36" spans="1:61" ht="18.75" x14ac:dyDescent="0.3">
      <c r="A36" s="22" t="s">
        <v>78</v>
      </c>
    </row>
    <row r="37" spans="1:61" ht="15" x14ac:dyDescent="0.25">
      <c r="A37" s="16"/>
      <c r="B37" s="16" t="s">
        <v>4</v>
      </c>
      <c r="C37" s="16" t="s">
        <v>4</v>
      </c>
      <c r="D37" s="16" t="s">
        <v>4</v>
      </c>
      <c r="E37" s="16" t="s">
        <v>4</v>
      </c>
      <c r="F37" s="16" t="s">
        <v>4</v>
      </c>
      <c r="G37" s="16" t="s">
        <v>4</v>
      </c>
      <c r="H37" s="16" t="s">
        <v>4</v>
      </c>
      <c r="I37" s="16" t="s">
        <v>4</v>
      </c>
      <c r="J37" s="16" t="s">
        <v>4</v>
      </c>
      <c r="K37" s="16" t="s">
        <v>4</v>
      </c>
      <c r="L37" s="16" t="s">
        <v>4</v>
      </c>
      <c r="M37" s="16" t="s">
        <v>4</v>
      </c>
      <c r="N37" s="16" t="s">
        <v>4</v>
      </c>
      <c r="O37" s="16" t="s">
        <v>4</v>
      </c>
      <c r="P37" s="16" t="s">
        <v>4</v>
      </c>
      <c r="Q37" s="16" t="s">
        <v>4</v>
      </c>
      <c r="R37" s="16" t="s">
        <v>4</v>
      </c>
      <c r="S37" s="16" t="s">
        <v>4</v>
      </c>
      <c r="T37" s="16" t="s">
        <v>4</v>
      </c>
      <c r="U37" s="16" t="s">
        <v>4</v>
      </c>
      <c r="V37" s="16" t="s">
        <v>4</v>
      </c>
      <c r="W37" s="16" t="s">
        <v>4</v>
      </c>
      <c r="X37" s="16" t="s">
        <v>4</v>
      </c>
      <c r="Y37" s="16" t="s">
        <v>4</v>
      </c>
      <c r="Z37" s="16" t="s">
        <v>4</v>
      </c>
      <c r="AA37" s="16" t="s">
        <v>4</v>
      </c>
      <c r="AB37" s="16" t="s">
        <v>4</v>
      </c>
      <c r="AC37" s="16" t="s">
        <v>4</v>
      </c>
      <c r="AD37" s="16" t="s">
        <v>4</v>
      </c>
      <c r="AE37" s="16" t="s">
        <v>4</v>
      </c>
      <c r="AF37" s="16" t="s">
        <v>4</v>
      </c>
      <c r="AG37" s="16" t="s">
        <v>4</v>
      </c>
      <c r="AH37" s="16" t="s">
        <v>4</v>
      </c>
      <c r="AI37" s="16" t="s">
        <v>4</v>
      </c>
      <c r="AJ37" s="16" t="s">
        <v>4</v>
      </c>
      <c r="AK37" s="16" t="s">
        <v>4</v>
      </c>
      <c r="AL37" s="16" t="s">
        <v>4</v>
      </c>
      <c r="AM37" s="16" t="s">
        <v>4</v>
      </c>
      <c r="AN37" s="16" t="s">
        <v>4</v>
      </c>
      <c r="AO37" s="16" t="s">
        <v>4</v>
      </c>
      <c r="AP37" s="16" t="s">
        <v>4</v>
      </c>
      <c r="AQ37" s="16" t="s">
        <v>4</v>
      </c>
      <c r="AR37" s="16" t="s">
        <v>4</v>
      </c>
      <c r="AS37" s="16" t="s">
        <v>4</v>
      </c>
      <c r="AT37" s="16" t="s">
        <v>4</v>
      </c>
      <c r="AU37" s="16" t="s">
        <v>4</v>
      </c>
      <c r="AV37" s="16" t="s">
        <v>4</v>
      </c>
      <c r="AW37" s="16" t="s">
        <v>4</v>
      </c>
      <c r="AX37" s="16" t="s">
        <v>4</v>
      </c>
      <c r="AY37" s="16" t="s">
        <v>4</v>
      </c>
      <c r="AZ37" s="16" t="s">
        <v>4</v>
      </c>
      <c r="BA37" s="16" t="s">
        <v>4</v>
      </c>
      <c r="BB37" s="16" t="s">
        <v>4</v>
      </c>
      <c r="BC37" s="16" t="s">
        <v>4</v>
      </c>
      <c r="BD37" s="16" t="s">
        <v>4</v>
      </c>
      <c r="BE37" s="16" t="s">
        <v>4</v>
      </c>
      <c r="BF37" s="16" t="s">
        <v>4</v>
      </c>
      <c r="BG37" s="16" t="s">
        <v>4</v>
      </c>
      <c r="BH37" s="16" t="s">
        <v>4</v>
      </c>
      <c r="BI37" s="16" t="s">
        <v>4</v>
      </c>
    </row>
    <row r="38" spans="1:61" s="44" customFormat="1" ht="15" x14ac:dyDescent="0.25">
      <c r="A38" s="42"/>
      <c r="B38" s="42">
        <v>5</v>
      </c>
      <c r="C38" s="42">
        <v>10</v>
      </c>
      <c r="D38" s="42">
        <v>15</v>
      </c>
      <c r="E38" s="42">
        <v>20</v>
      </c>
      <c r="F38" s="42">
        <v>25</v>
      </c>
      <c r="G38" s="42">
        <v>30</v>
      </c>
      <c r="H38" s="42">
        <v>35</v>
      </c>
      <c r="I38" s="42">
        <v>40</v>
      </c>
      <c r="J38" s="42">
        <v>45</v>
      </c>
      <c r="K38" s="42">
        <v>50</v>
      </c>
      <c r="L38" s="42">
        <v>55</v>
      </c>
      <c r="M38" s="42">
        <v>60</v>
      </c>
      <c r="N38" s="43">
        <v>65</v>
      </c>
      <c r="O38" s="43">
        <v>70</v>
      </c>
      <c r="P38" s="43">
        <v>75</v>
      </c>
      <c r="Q38" s="43">
        <v>80</v>
      </c>
      <c r="R38" s="43">
        <v>85</v>
      </c>
      <c r="S38" s="43">
        <v>90</v>
      </c>
      <c r="T38" s="43">
        <v>95</v>
      </c>
      <c r="U38" s="43">
        <v>100</v>
      </c>
      <c r="V38" s="43">
        <v>105</v>
      </c>
      <c r="W38" s="43">
        <v>110</v>
      </c>
      <c r="X38" s="43">
        <v>115</v>
      </c>
      <c r="Y38" s="43">
        <v>120</v>
      </c>
      <c r="Z38" s="43">
        <v>125</v>
      </c>
      <c r="AA38" s="43">
        <v>130</v>
      </c>
      <c r="AB38" s="43">
        <v>135</v>
      </c>
      <c r="AC38" s="43">
        <v>140</v>
      </c>
      <c r="AD38" s="43">
        <v>145</v>
      </c>
      <c r="AE38" s="43">
        <v>150</v>
      </c>
      <c r="AF38" s="43">
        <v>155</v>
      </c>
      <c r="AG38" s="43">
        <v>160</v>
      </c>
      <c r="AH38" s="43">
        <v>165</v>
      </c>
      <c r="AI38" s="43">
        <v>170</v>
      </c>
      <c r="AJ38" s="43">
        <v>175</v>
      </c>
      <c r="AK38" s="43">
        <v>180</v>
      </c>
      <c r="AL38" s="43">
        <v>185</v>
      </c>
      <c r="AM38" s="43">
        <v>190</v>
      </c>
      <c r="AN38" s="43">
        <v>195</v>
      </c>
      <c r="AO38" s="43">
        <v>200</v>
      </c>
      <c r="AP38" s="43">
        <v>205</v>
      </c>
      <c r="AQ38" s="43">
        <v>210</v>
      </c>
      <c r="AR38" s="43">
        <v>215</v>
      </c>
      <c r="AS38" s="43">
        <v>220</v>
      </c>
      <c r="AT38" s="43">
        <v>225</v>
      </c>
      <c r="AU38" s="43">
        <v>230</v>
      </c>
      <c r="AV38" s="43">
        <v>235</v>
      </c>
      <c r="AW38" s="43">
        <v>240</v>
      </c>
      <c r="AX38" s="43">
        <v>245</v>
      </c>
      <c r="AY38" s="43">
        <v>250</v>
      </c>
      <c r="AZ38" s="43">
        <v>255</v>
      </c>
      <c r="BA38" s="43">
        <v>260</v>
      </c>
      <c r="BB38" s="43">
        <v>265</v>
      </c>
      <c r="BC38" s="43">
        <v>270</v>
      </c>
      <c r="BD38" s="43">
        <v>275</v>
      </c>
      <c r="BE38" s="43">
        <v>280</v>
      </c>
      <c r="BF38" s="43">
        <v>285</v>
      </c>
      <c r="BG38" s="43">
        <v>290</v>
      </c>
      <c r="BH38" s="43">
        <v>295</v>
      </c>
      <c r="BI38" s="43">
        <v>300</v>
      </c>
    </row>
    <row r="39" spans="1:61" s="23" customFormat="1" ht="30" x14ac:dyDescent="0.25">
      <c r="A39" s="25" t="s">
        <v>38</v>
      </c>
      <c r="B39" s="25" t="s">
        <v>39</v>
      </c>
      <c r="C39" s="25" t="s">
        <v>39</v>
      </c>
      <c r="D39" s="25" t="s">
        <v>39</v>
      </c>
      <c r="E39" s="25" t="s">
        <v>39</v>
      </c>
      <c r="F39" s="25" t="s">
        <v>39</v>
      </c>
      <c r="G39" s="25" t="s">
        <v>39</v>
      </c>
      <c r="H39" s="25" t="s">
        <v>39</v>
      </c>
      <c r="I39" s="25" t="s">
        <v>39</v>
      </c>
      <c r="J39" s="25" t="s">
        <v>39</v>
      </c>
      <c r="K39" s="25" t="s">
        <v>39</v>
      </c>
      <c r="L39" s="25" t="s">
        <v>39</v>
      </c>
      <c r="M39" s="25" t="s">
        <v>39</v>
      </c>
      <c r="N39" s="25" t="s">
        <v>39</v>
      </c>
      <c r="O39" s="25" t="s">
        <v>39</v>
      </c>
      <c r="P39" s="25" t="s">
        <v>39</v>
      </c>
      <c r="Q39" s="25" t="s">
        <v>39</v>
      </c>
      <c r="R39" s="25" t="s">
        <v>39</v>
      </c>
      <c r="S39" s="25" t="s">
        <v>39</v>
      </c>
      <c r="T39" s="25" t="s">
        <v>39</v>
      </c>
      <c r="U39" s="25" t="s">
        <v>39</v>
      </c>
      <c r="V39" s="25" t="s">
        <v>39</v>
      </c>
      <c r="W39" s="25" t="s">
        <v>39</v>
      </c>
      <c r="X39" s="25" t="s">
        <v>39</v>
      </c>
      <c r="Y39" s="25" t="s">
        <v>39</v>
      </c>
      <c r="Z39" s="25" t="s">
        <v>39</v>
      </c>
      <c r="AA39" s="25" t="s">
        <v>39</v>
      </c>
      <c r="AB39" s="25" t="s">
        <v>39</v>
      </c>
      <c r="AC39" s="25" t="s">
        <v>39</v>
      </c>
      <c r="AD39" s="25" t="s">
        <v>39</v>
      </c>
      <c r="AE39" s="25" t="s">
        <v>39</v>
      </c>
      <c r="AF39" s="25" t="s">
        <v>39</v>
      </c>
      <c r="AG39" s="25" t="s">
        <v>39</v>
      </c>
      <c r="AH39" s="25" t="s">
        <v>39</v>
      </c>
      <c r="AI39" s="25" t="s">
        <v>39</v>
      </c>
      <c r="AJ39" s="25" t="s">
        <v>39</v>
      </c>
      <c r="AK39" s="25" t="s">
        <v>39</v>
      </c>
      <c r="AL39" s="25" t="s">
        <v>39</v>
      </c>
      <c r="AM39" s="25" t="s">
        <v>39</v>
      </c>
      <c r="AN39" s="25" t="s">
        <v>39</v>
      </c>
      <c r="AO39" s="25" t="s">
        <v>39</v>
      </c>
      <c r="AP39" s="25" t="s">
        <v>39</v>
      </c>
      <c r="AQ39" s="25" t="s">
        <v>39</v>
      </c>
      <c r="AR39" s="25" t="s">
        <v>39</v>
      </c>
      <c r="AS39" s="25" t="s">
        <v>39</v>
      </c>
      <c r="AT39" s="25" t="s">
        <v>39</v>
      </c>
      <c r="AU39" s="25" t="s">
        <v>39</v>
      </c>
      <c r="AV39" s="25" t="s">
        <v>39</v>
      </c>
      <c r="AW39" s="25" t="s">
        <v>39</v>
      </c>
      <c r="AX39" s="25" t="s">
        <v>39</v>
      </c>
      <c r="AY39" s="25" t="s">
        <v>39</v>
      </c>
      <c r="AZ39" s="25" t="s">
        <v>39</v>
      </c>
      <c r="BA39" s="25" t="s">
        <v>39</v>
      </c>
      <c r="BB39" s="25" t="s">
        <v>39</v>
      </c>
      <c r="BC39" s="25" t="s">
        <v>39</v>
      </c>
      <c r="BD39" s="25" t="s">
        <v>39</v>
      </c>
      <c r="BE39" s="25" t="s">
        <v>39</v>
      </c>
      <c r="BF39" s="25" t="s">
        <v>39</v>
      </c>
      <c r="BG39" s="25" t="s">
        <v>39</v>
      </c>
      <c r="BH39" s="25" t="s">
        <v>39</v>
      </c>
      <c r="BI39" s="25" t="s">
        <v>39</v>
      </c>
    </row>
    <row r="40" spans="1:61" ht="15" x14ac:dyDescent="0.25">
      <c r="A40" s="10" t="s">
        <v>49</v>
      </c>
      <c r="B40" s="24" t="e">
        <f>D6*$B$28/1000/60*D$3</f>
        <v>#VALUE!</v>
      </c>
      <c r="C40" s="24" t="e">
        <f t="shared" ref="C40:M40" si="4">E6*$B$28/1000/60*E$3</f>
        <v>#VALUE!</v>
      </c>
      <c r="D40" s="24" t="e">
        <f t="shared" si="4"/>
        <v>#VALUE!</v>
      </c>
      <c r="E40" s="24" t="e">
        <f t="shared" si="4"/>
        <v>#VALUE!</v>
      </c>
      <c r="F40" s="24" t="e">
        <f t="shared" si="4"/>
        <v>#VALUE!</v>
      </c>
      <c r="G40" s="24" t="e">
        <f t="shared" si="4"/>
        <v>#VALUE!</v>
      </c>
      <c r="H40" s="24" t="e">
        <f t="shared" si="4"/>
        <v>#VALUE!</v>
      </c>
      <c r="I40" s="24" t="e">
        <f t="shared" si="4"/>
        <v>#VALUE!</v>
      </c>
      <c r="J40" s="24" t="e">
        <f t="shared" si="4"/>
        <v>#VALUE!</v>
      </c>
      <c r="K40" s="24" t="e">
        <f t="shared" si="4"/>
        <v>#VALUE!</v>
      </c>
      <c r="L40" s="24" t="e">
        <f t="shared" si="4"/>
        <v>#VALUE!</v>
      </c>
      <c r="M40" s="24" t="e">
        <f t="shared" si="4"/>
        <v>#VALUE!</v>
      </c>
      <c r="N40" s="24" t="e">
        <f t="shared" ref="N40" si="5">P6*$B$28/1000/60*P$3</f>
        <v>#VALUE!</v>
      </c>
      <c r="O40" s="24" t="e">
        <f t="shared" ref="O40" si="6">Q6*$B$28/1000/60*Q$3</f>
        <v>#VALUE!</v>
      </c>
      <c r="P40" s="24" t="e">
        <f t="shared" ref="P40" si="7">R6*$B$28/1000/60*R$3</f>
        <v>#VALUE!</v>
      </c>
      <c r="Q40" s="24" t="e">
        <f t="shared" ref="Q40" si="8">S6*$B$28/1000/60*S$3</f>
        <v>#VALUE!</v>
      </c>
      <c r="R40" s="24" t="e">
        <f t="shared" ref="R40" si="9">T6*$B$28/1000/60*T$3</f>
        <v>#VALUE!</v>
      </c>
      <c r="S40" s="24" t="e">
        <f t="shared" ref="S40" si="10">U6*$B$28/1000/60*U$3</f>
        <v>#VALUE!</v>
      </c>
      <c r="T40" s="24" t="e">
        <f t="shared" ref="T40" si="11">V6*$B$28/1000/60*V$3</f>
        <v>#VALUE!</v>
      </c>
      <c r="U40" s="24" t="e">
        <f t="shared" ref="U40" si="12">W6*$B$28/1000/60*W$3</f>
        <v>#VALUE!</v>
      </c>
      <c r="V40" s="24" t="e">
        <f t="shared" ref="V40" si="13">X6*$B$28/1000/60*X$3</f>
        <v>#VALUE!</v>
      </c>
      <c r="W40" s="24" t="e">
        <f t="shared" ref="W40" si="14">Y6*$B$28/1000/60*Y$3</f>
        <v>#VALUE!</v>
      </c>
      <c r="X40" s="24" t="e">
        <f t="shared" ref="X40" si="15">Z6*$B$28/1000/60*Z$3</f>
        <v>#VALUE!</v>
      </c>
      <c r="Y40" s="24" t="e">
        <f t="shared" ref="Y40" si="16">AA6*$B$28/1000/60*AA$3</f>
        <v>#VALUE!</v>
      </c>
      <c r="Z40" s="24" t="e">
        <f t="shared" ref="Z40" si="17">AB6*$B$28/1000/60*AB$3</f>
        <v>#VALUE!</v>
      </c>
      <c r="AA40" s="24" t="e">
        <f t="shared" ref="AA40" si="18">AC6*$B$28/1000/60*AC$3</f>
        <v>#VALUE!</v>
      </c>
      <c r="AB40" s="24" t="e">
        <f t="shared" ref="AB40" si="19">AD6*$B$28/1000/60*AD$3</f>
        <v>#VALUE!</v>
      </c>
      <c r="AC40" s="24" t="e">
        <f t="shared" ref="AC40" si="20">AE6*$B$28/1000/60*AE$3</f>
        <v>#VALUE!</v>
      </c>
      <c r="AD40" s="24" t="e">
        <f t="shared" ref="AD40" si="21">AF6*$B$28/1000/60*AF$3</f>
        <v>#VALUE!</v>
      </c>
      <c r="AE40" s="24" t="e">
        <f t="shared" ref="AE40" si="22">AG6*$B$28/1000/60*AG$3</f>
        <v>#VALUE!</v>
      </c>
      <c r="AF40" s="24" t="e">
        <f t="shared" ref="AF40" si="23">AH6*$B$28/1000/60*AH$3</f>
        <v>#VALUE!</v>
      </c>
      <c r="AG40" s="24" t="e">
        <f t="shared" ref="AG40" si="24">AI6*$B$28/1000/60*AI$3</f>
        <v>#VALUE!</v>
      </c>
      <c r="AH40" s="24" t="e">
        <f t="shared" ref="AH40" si="25">AJ6*$B$28/1000/60*AJ$3</f>
        <v>#VALUE!</v>
      </c>
      <c r="AI40" s="24" t="e">
        <f t="shared" ref="AI40" si="26">AK6*$B$28/1000/60*AK$3</f>
        <v>#VALUE!</v>
      </c>
      <c r="AJ40" s="24" t="e">
        <f t="shared" ref="AJ40" si="27">AL6*$B$28/1000/60*AL$3</f>
        <v>#VALUE!</v>
      </c>
      <c r="AK40" s="24" t="e">
        <f t="shared" ref="AK40" si="28">AM6*$B$28/1000/60*AM$3</f>
        <v>#VALUE!</v>
      </c>
      <c r="AL40" s="24" t="e">
        <f t="shared" ref="AL40" si="29">AN6*$B$28/1000/60*AN$3</f>
        <v>#VALUE!</v>
      </c>
      <c r="AM40" s="24" t="e">
        <f t="shared" ref="AM40" si="30">AO6*$B$28/1000/60*AO$3</f>
        <v>#VALUE!</v>
      </c>
      <c r="AN40" s="24" t="e">
        <f t="shared" ref="AN40" si="31">AP6*$B$28/1000/60*AP$3</f>
        <v>#VALUE!</v>
      </c>
      <c r="AO40" s="24" t="e">
        <f t="shared" ref="AO40" si="32">AQ6*$B$28/1000/60*AQ$3</f>
        <v>#VALUE!</v>
      </c>
      <c r="AP40" s="24" t="e">
        <f t="shared" ref="AP40" si="33">AR6*$B$28/1000/60*AR$3</f>
        <v>#VALUE!</v>
      </c>
      <c r="AQ40" s="24" t="e">
        <f t="shared" ref="AQ40" si="34">AS6*$B$28/1000/60*AS$3</f>
        <v>#VALUE!</v>
      </c>
      <c r="AR40" s="24" t="e">
        <f t="shared" ref="AR40" si="35">AT6*$B$28/1000/60*AT$3</f>
        <v>#VALUE!</v>
      </c>
      <c r="AS40" s="24" t="e">
        <f t="shared" ref="AS40" si="36">AU6*$B$28/1000/60*AU$3</f>
        <v>#VALUE!</v>
      </c>
      <c r="AT40" s="24" t="e">
        <f t="shared" ref="AT40" si="37">AV6*$B$28/1000/60*AV$3</f>
        <v>#VALUE!</v>
      </c>
      <c r="AU40" s="24" t="e">
        <f t="shared" ref="AU40" si="38">AW6*$B$28/1000/60*AW$3</f>
        <v>#VALUE!</v>
      </c>
      <c r="AV40" s="24" t="e">
        <f t="shared" ref="AV40" si="39">AX6*$B$28/1000/60*AX$3</f>
        <v>#VALUE!</v>
      </c>
      <c r="AW40" s="24" t="e">
        <f t="shared" ref="AW40" si="40">AY6*$B$28/1000/60*AY$3</f>
        <v>#VALUE!</v>
      </c>
      <c r="AX40" s="24" t="e">
        <f t="shared" ref="AX40" si="41">AZ6*$B$28/1000/60*AZ$3</f>
        <v>#VALUE!</v>
      </c>
      <c r="AY40" s="24" t="e">
        <f t="shared" ref="AY40" si="42">BA6*$B$28/1000/60*BA$3</f>
        <v>#VALUE!</v>
      </c>
      <c r="AZ40" s="24" t="e">
        <f t="shared" ref="AZ40" si="43">BB6*$B$28/1000/60*BB$3</f>
        <v>#VALUE!</v>
      </c>
      <c r="BA40" s="24" t="e">
        <f t="shared" ref="BA40" si="44">BC6*$B$28/1000/60*BC$3</f>
        <v>#VALUE!</v>
      </c>
      <c r="BB40" s="24" t="e">
        <f t="shared" ref="BB40" si="45">BD6*$B$28/1000/60*BD$3</f>
        <v>#VALUE!</v>
      </c>
      <c r="BC40" s="24" t="e">
        <f t="shared" ref="BC40" si="46">BE6*$B$28/1000/60*BE$3</f>
        <v>#VALUE!</v>
      </c>
      <c r="BD40" s="24" t="e">
        <f t="shared" ref="BD40" si="47">BF6*$B$28/1000/60*BF$3</f>
        <v>#VALUE!</v>
      </c>
      <c r="BE40" s="24" t="e">
        <f t="shared" ref="BE40" si="48">BG6*$B$28/1000/60*BG$3</f>
        <v>#VALUE!</v>
      </c>
      <c r="BF40" s="24" t="e">
        <f t="shared" ref="BF40" si="49">BH6*$B$28/1000/60*BH$3</f>
        <v>#VALUE!</v>
      </c>
      <c r="BG40" s="24" t="e">
        <f t="shared" ref="BG40" si="50">BI6*$B$28/1000/60*BI$3</f>
        <v>#VALUE!</v>
      </c>
      <c r="BH40" s="24" t="e">
        <f t="shared" ref="BH40" si="51">BJ6*$B$28/1000/60*BJ$3</f>
        <v>#VALUE!</v>
      </c>
      <c r="BI40" s="24" t="e">
        <f t="shared" ref="BI40" si="52">BK6*$B$28/1000/60*BK$3</f>
        <v>#VALUE!</v>
      </c>
    </row>
    <row r="41" spans="1:61" ht="15" hidden="1" x14ac:dyDescent="0.25">
      <c r="A41" s="10" t="s">
        <v>42</v>
      </c>
      <c r="B41" s="24" t="e">
        <f>B18/10000*60*5*$B$28/1000</f>
        <v>#VALUE!</v>
      </c>
      <c r="C41" s="24" t="e">
        <f>C18/10000*60*10*$B$28/1000</f>
        <v>#VALUE!</v>
      </c>
      <c r="D41" s="24"/>
      <c r="E41" s="24" t="e">
        <f>D18/10000*60*20*$B$28/1000</f>
        <v>#VALUE!</v>
      </c>
      <c r="F41" s="24"/>
      <c r="G41" s="24" t="e">
        <f>E18/10000*60*30*$B$28/1000</f>
        <v>#VALUE!</v>
      </c>
      <c r="H41" s="24"/>
      <c r="I41" s="24" t="e">
        <f>F18/10000*60*40*$B$28/1000</f>
        <v>#VALUE!</v>
      </c>
      <c r="J41" s="24"/>
      <c r="K41" s="24" t="e">
        <f>G18/10000*60*50*$B$28/1000</f>
        <v>#VALUE!</v>
      </c>
      <c r="L41" s="24"/>
      <c r="M41" s="24" t="e">
        <f>H18/10000*60*60*$B$28/1000</f>
        <v>#VALUE!</v>
      </c>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row>
    <row r="42" spans="1:61" ht="15" x14ac:dyDescent="0.25">
      <c r="A42" s="10" t="s">
        <v>50</v>
      </c>
      <c r="B42" s="24" t="e">
        <f t="shared" ref="B42:M43" si="53">D7*$B$28/1000/60*D$3</f>
        <v>#VALUE!</v>
      </c>
      <c r="C42" s="24" t="e">
        <f t="shared" si="53"/>
        <v>#VALUE!</v>
      </c>
      <c r="D42" s="24" t="e">
        <f t="shared" si="53"/>
        <v>#VALUE!</v>
      </c>
      <c r="E42" s="24" t="e">
        <f t="shared" si="53"/>
        <v>#VALUE!</v>
      </c>
      <c r="F42" s="24" t="e">
        <f t="shared" si="53"/>
        <v>#VALUE!</v>
      </c>
      <c r="G42" s="24" t="e">
        <f t="shared" si="53"/>
        <v>#VALUE!</v>
      </c>
      <c r="H42" s="24" t="e">
        <f t="shared" si="53"/>
        <v>#VALUE!</v>
      </c>
      <c r="I42" s="24" t="e">
        <f t="shared" si="53"/>
        <v>#VALUE!</v>
      </c>
      <c r="J42" s="24" t="e">
        <f t="shared" si="53"/>
        <v>#VALUE!</v>
      </c>
      <c r="K42" s="24" t="e">
        <f t="shared" si="53"/>
        <v>#VALUE!</v>
      </c>
      <c r="L42" s="24" t="e">
        <f t="shared" si="53"/>
        <v>#VALUE!</v>
      </c>
      <c r="M42" s="24" t="e">
        <f t="shared" si="53"/>
        <v>#VALUE!</v>
      </c>
      <c r="N42" s="24" t="e">
        <f t="shared" ref="N42:N43" si="54">P7*$B$28/1000/60*P$3</f>
        <v>#VALUE!</v>
      </c>
      <c r="O42" s="24" t="e">
        <f t="shared" ref="O42:O43" si="55">Q7*$B$28/1000/60*Q$3</f>
        <v>#VALUE!</v>
      </c>
      <c r="P42" s="24" t="e">
        <f t="shared" ref="P42:P43" si="56">R7*$B$28/1000/60*R$3</f>
        <v>#VALUE!</v>
      </c>
      <c r="Q42" s="24" t="e">
        <f t="shared" ref="Q42:Q43" si="57">S7*$B$28/1000/60*S$3</f>
        <v>#VALUE!</v>
      </c>
      <c r="R42" s="24" t="e">
        <f t="shared" ref="R42:R43" si="58">T7*$B$28/1000/60*T$3</f>
        <v>#VALUE!</v>
      </c>
      <c r="S42" s="24" t="e">
        <f t="shared" ref="S42:S43" si="59">U7*$B$28/1000/60*U$3</f>
        <v>#VALUE!</v>
      </c>
      <c r="T42" s="24" t="e">
        <f t="shared" ref="T42:T43" si="60">V7*$B$28/1000/60*V$3</f>
        <v>#VALUE!</v>
      </c>
      <c r="U42" s="24" t="e">
        <f t="shared" ref="U42:U43" si="61">W7*$B$28/1000/60*W$3</f>
        <v>#VALUE!</v>
      </c>
      <c r="V42" s="24" t="e">
        <f t="shared" ref="V42:V43" si="62">X7*$B$28/1000/60*X$3</f>
        <v>#VALUE!</v>
      </c>
      <c r="W42" s="24" t="e">
        <f t="shared" ref="W42:W43" si="63">Y7*$B$28/1000/60*Y$3</f>
        <v>#VALUE!</v>
      </c>
      <c r="X42" s="24" t="e">
        <f t="shared" ref="X42:X43" si="64">Z7*$B$28/1000/60*Z$3</f>
        <v>#VALUE!</v>
      </c>
      <c r="Y42" s="24" t="e">
        <f t="shared" ref="Y42:Y43" si="65">AA7*$B$28/1000/60*AA$3</f>
        <v>#VALUE!</v>
      </c>
      <c r="Z42" s="24" t="e">
        <f t="shared" ref="Z42:Z43" si="66">AB7*$B$28/1000/60*AB$3</f>
        <v>#VALUE!</v>
      </c>
      <c r="AA42" s="24" t="e">
        <f t="shared" ref="AA42:AA43" si="67">AC7*$B$28/1000/60*AC$3</f>
        <v>#VALUE!</v>
      </c>
      <c r="AB42" s="24" t="e">
        <f t="shared" ref="AB42:AB43" si="68">AD7*$B$28/1000/60*AD$3</f>
        <v>#VALUE!</v>
      </c>
      <c r="AC42" s="24" t="e">
        <f t="shared" ref="AC42:AC43" si="69">AE7*$B$28/1000/60*AE$3</f>
        <v>#VALUE!</v>
      </c>
      <c r="AD42" s="24" t="e">
        <f t="shared" ref="AD42:AD43" si="70">AF7*$B$28/1000/60*AF$3</f>
        <v>#VALUE!</v>
      </c>
      <c r="AE42" s="24" t="e">
        <f t="shared" ref="AE42:AE43" si="71">AG7*$B$28/1000/60*AG$3</f>
        <v>#VALUE!</v>
      </c>
      <c r="AF42" s="24" t="e">
        <f t="shared" ref="AF42:AF43" si="72">AH7*$B$28/1000/60*AH$3</f>
        <v>#VALUE!</v>
      </c>
      <c r="AG42" s="24" t="e">
        <f t="shared" ref="AG42:AG43" si="73">AI7*$B$28/1000/60*AI$3</f>
        <v>#VALUE!</v>
      </c>
      <c r="AH42" s="24" t="e">
        <f t="shared" ref="AH42:AH43" si="74">AJ7*$B$28/1000/60*AJ$3</f>
        <v>#VALUE!</v>
      </c>
      <c r="AI42" s="24" t="e">
        <f t="shared" ref="AI42:AI43" si="75">AK7*$B$28/1000/60*AK$3</f>
        <v>#VALUE!</v>
      </c>
      <c r="AJ42" s="24" t="e">
        <f t="shared" ref="AJ42:AJ43" si="76">AL7*$B$28/1000/60*AL$3</f>
        <v>#VALUE!</v>
      </c>
      <c r="AK42" s="24" t="e">
        <f t="shared" ref="AK42:AK43" si="77">AM7*$B$28/1000/60*AM$3</f>
        <v>#VALUE!</v>
      </c>
      <c r="AL42" s="24" t="e">
        <f t="shared" ref="AL42:AL43" si="78">AN7*$B$28/1000/60*AN$3</f>
        <v>#VALUE!</v>
      </c>
      <c r="AM42" s="24" t="e">
        <f t="shared" ref="AM42:AM43" si="79">AO7*$B$28/1000/60*AO$3</f>
        <v>#VALUE!</v>
      </c>
      <c r="AN42" s="24" t="e">
        <f t="shared" ref="AN42:AN43" si="80">AP7*$B$28/1000/60*AP$3</f>
        <v>#VALUE!</v>
      </c>
      <c r="AO42" s="24" t="e">
        <f t="shared" ref="AO42:AO43" si="81">AQ7*$B$28/1000/60*AQ$3</f>
        <v>#VALUE!</v>
      </c>
      <c r="AP42" s="24" t="e">
        <f t="shared" ref="AP42:AP43" si="82">AR7*$B$28/1000/60*AR$3</f>
        <v>#VALUE!</v>
      </c>
      <c r="AQ42" s="24" t="e">
        <f t="shared" ref="AQ42:AQ43" si="83">AS7*$B$28/1000/60*AS$3</f>
        <v>#VALUE!</v>
      </c>
      <c r="AR42" s="24" t="e">
        <f t="shared" ref="AR42:AR43" si="84">AT7*$B$28/1000/60*AT$3</f>
        <v>#VALUE!</v>
      </c>
      <c r="AS42" s="24" t="e">
        <f t="shared" ref="AS42:AS43" si="85">AU7*$B$28/1000/60*AU$3</f>
        <v>#VALUE!</v>
      </c>
      <c r="AT42" s="24" t="e">
        <f t="shared" ref="AT42:AT43" si="86">AV7*$B$28/1000/60*AV$3</f>
        <v>#VALUE!</v>
      </c>
      <c r="AU42" s="24" t="e">
        <f t="shared" ref="AU42:AU43" si="87">AW7*$B$28/1000/60*AW$3</f>
        <v>#VALUE!</v>
      </c>
      <c r="AV42" s="24" t="e">
        <f t="shared" ref="AV42:AV43" si="88">AX7*$B$28/1000/60*AX$3</f>
        <v>#VALUE!</v>
      </c>
      <c r="AW42" s="24" t="e">
        <f t="shared" ref="AW42:AW43" si="89">AY7*$B$28/1000/60*AY$3</f>
        <v>#VALUE!</v>
      </c>
      <c r="AX42" s="24" t="e">
        <f t="shared" ref="AX42:AX43" si="90">AZ7*$B$28/1000/60*AZ$3</f>
        <v>#VALUE!</v>
      </c>
      <c r="AY42" s="24" t="e">
        <f t="shared" ref="AY42:AY43" si="91">BA7*$B$28/1000/60*BA$3</f>
        <v>#VALUE!</v>
      </c>
      <c r="AZ42" s="24" t="e">
        <f t="shared" ref="AZ42:AZ43" si="92">BB7*$B$28/1000/60*BB$3</f>
        <v>#VALUE!</v>
      </c>
      <c r="BA42" s="24" t="e">
        <f t="shared" ref="BA42:BA43" si="93">BC7*$B$28/1000/60*BC$3</f>
        <v>#VALUE!</v>
      </c>
      <c r="BB42" s="24" t="e">
        <f t="shared" ref="BB42:BB43" si="94">BD7*$B$28/1000/60*BD$3</f>
        <v>#VALUE!</v>
      </c>
      <c r="BC42" s="24" t="e">
        <f t="shared" ref="BC42:BC43" si="95">BE7*$B$28/1000/60*BE$3</f>
        <v>#VALUE!</v>
      </c>
      <c r="BD42" s="24" t="e">
        <f t="shared" ref="BD42:BD43" si="96">BF7*$B$28/1000/60*BF$3</f>
        <v>#VALUE!</v>
      </c>
      <c r="BE42" s="24" t="e">
        <f t="shared" ref="BE42:BE43" si="97">BG7*$B$28/1000/60*BG$3</f>
        <v>#VALUE!</v>
      </c>
      <c r="BF42" s="24" t="e">
        <f t="shared" ref="BF42:BF43" si="98">BH7*$B$28/1000/60*BH$3</f>
        <v>#VALUE!</v>
      </c>
      <c r="BG42" s="24" t="e">
        <f t="shared" ref="BG42:BG43" si="99">BI7*$B$28/1000/60*BI$3</f>
        <v>#VALUE!</v>
      </c>
      <c r="BH42" s="24" t="e">
        <f t="shared" ref="BH42:BH43" si="100">BJ7*$B$28/1000/60*BJ$3</f>
        <v>#VALUE!</v>
      </c>
      <c r="BI42" s="24" t="e">
        <f t="shared" ref="BI42:BI43" si="101">BK7*$B$28/1000/60*BK$3</f>
        <v>#VALUE!</v>
      </c>
    </row>
    <row r="43" spans="1:61" ht="15" x14ac:dyDescent="0.25">
      <c r="A43" s="10" t="s">
        <v>51</v>
      </c>
      <c r="B43" s="24" t="e">
        <f>D8*$B$28/1000/60*D$3</f>
        <v>#VALUE!</v>
      </c>
      <c r="C43" s="24" t="e">
        <f t="shared" si="53"/>
        <v>#VALUE!</v>
      </c>
      <c r="D43" s="24" t="e">
        <f t="shared" si="53"/>
        <v>#VALUE!</v>
      </c>
      <c r="E43" s="24" t="e">
        <f t="shared" si="53"/>
        <v>#VALUE!</v>
      </c>
      <c r="F43" s="24" t="e">
        <f t="shared" si="53"/>
        <v>#VALUE!</v>
      </c>
      <c r="G43" s="24" t="e">
        <f t="shared" si="53"/>
        <v>#VALUE!</v>
      </c>
      <c r="H43" s="24" t="e">
        <f t="shared" si="53"/>
        <v>#VALUE!</v>
      </c>
      <c r="I43" s="24" t="e">
        <f t="shared" si="53"/>
        <v>#VALUE!</v>
      </c>
      <c r="J43" s="24" t="e">
        <f t="shared" si="53"/>
        <v>#VALUE!</v>
      </c>
      <c r="K43" s="24" t="e">
        <f t="shared" si="53"/>
        <v>#VALUE!</v>
      </c>
      <c r="L43" s="24" t="e">
        <f t="shared" si="53"/>
        <v>#VALUE!</v>
      </c>
      <c r="M43" s="24" t="e">
        <f t="shared" si="53"/>
        <v>#VALUE!</v>
      </c>
      <c r="N43" s="24" t="e">
        <f t="shared" si="54"/>
        <v>#VALUE!</v>
      </c>
      <c r="O43" s="24" t="e">
        <f t="shared" si="55"/>
        <v>#VALUE!</v>
      </c>
      <c r="P43" s="24" t="e">
        <f t="shared" si="56"/>
        <v>#VALUE!</v>
      </c>
      <c r="Q43" s="24" t="e">
        <f t="shared" si="57"/>
        <v>#VALUE!</v>
      </c>
      <c r="R43" s="24" t="e">
        <f t="shared" si="58"/>
        <v>#VALUE!</v>
      </c>
      <c r="S43" s="24" t="e">
        <f t="shared" si="59"/>
        <v>#VALUE!</v>
      </c>
      <c r="T43" s="24" t="e">
        <f t="shared" si="60"/>
        <v>#VALUE!</v>
      </c>
      <c r="U43" s="24" t="e">
        <f t="shared" si="61"/>
        <v>#VALUE!</v>
      </c>
      <c r="V43" s="24" t="e">
        <f t="shared" si="62"/>
        <v>#VALUE!</v>
      </c>
      <c r="W43" s="24" t="e">
        <f t="shared" si="63"/>
        <v>#VALUE!</v>
      </c>
      <c r="X43" s="24" t="e">
        <f t="shared" si="64"/>
        <v>#VALUE!</v>
      </c>
      <c r="Y43" s="24" t="e">
        <f t="shared" si="65"/>
        <v>#VALUE!</v>
      </c>
      <c r="Z43" s="24" t="e">
        <f t="shared" si="66"/>
        <v>#VALUE!</v>
      </c>
      <c r="AA43" s="24" t="e">
        <f t="shared" si="67"/>
        <v>#VALUE!</v>
      </c>
      <c r="AB43" s="24" t="e">
        <f t="shared" si="68"/>
        <v>#VALUE!</v>
      </c>
      <c r="AC43" s="24" t="e">
        <f t="shared" si="69"/>
        <v>#VALUE!</v>
      </c>
      <c r="AD43" s="24" t="e">
        <f t="shared" si="70"/>
        <v>#VALUE!</v>
      </c>
      <c r="AE43" s="24" t="e">
        <f t="shared" si="71"/>
        <v>#VALUE!</v>
      </c>
      <c r="AF43" s="24" t="e">
        <f t="shared" si="72"/>
        <v>#VALUE!</v>
      </c>
      <c r="AG43" s="24" t="e">
        <f t="shared" si="73"/>
        <v>#VALUE!</v>
      </c>
      <c r="AH43" s="24" t="e">
        <f t="shared" si="74"/>
        <v>#VALUE!</v>
      </c>
      <c r="AI43" s="24" t="e">
        <f t="shared" si="75"/>
        <v>#VALUE!</v>
      </c>
      <c r="AJ43" s="24" t="e">
        <f t="shared" si="76"/>
        <v>#VALUE!</v>
      </c>
      <c r="AK43" s="24" t="e">
        <f t="shared" si="77"/>
        <v>#VALUE!</v>
      </c>
      <c r="AL43" s="24" t="e">
        <f t="shared" si="78"/>
        <v>#VALUE!</v>
      </c>
      <c r="AM43" s="24" t="e">
        <f t="shared" si="79"/>
        <v>#VALUE!</v>
      </c>
      <c r="AN43" s="24" t="e">
        <f t="shared" si="80"/>
        <v>#VALUE!</v>
      </c>
      <c r="AO43" s="24" t="e">
        <f t="shared" si="81"/>
        <v>#VALUE!</v>
      </c>
      <c r="AP43" s="24" t="e">
        <f t="shared" si="82"/>
        <v>#VALUE!</v>
      </c>
      <c r="AQ43" s="24" t="e">
        <f t="shared" si="83"/>
        <v>#VALUE!</v>
      </c>
      <c r="AR43" s="24" t="e">
        <f t="shared" si="84"/>
        <v>#VALUE!</v>
      </c>
      <c r="AS43" s="24" t="e">
        <f t="shared" si="85"/>
        <v>#VALUE!</v>
      </c>
      <c r="AT43" s="24" t="e">
        <f t="shared" si="86"/>
        <v>#VALUE!</v>
      </c>
      <c r="AU43" s="24" t="e">
        <f t="shared" si="87"/>
        <v>#VALUE!</v>
      </c>
      <c r="AV43" s="24" t="e">
        <f t="shared" si="88"/>
        <v>#VALUE!</v>
      </c>
      <c r="AW43" s="24" t="e">
        <f t="shared" si="89"/>
        <v>#VALUE!</v>
      </c>
      <c r="AX43" s="24" t="e">
        <f t="shared" si="90"/>
        <v>#VALUE!</v>
      </c>
      <c r="AY43" s="24" t="e">
        <f t="shared" si="91"/>
        <v>#VALUE!</v>
      </c>
      <c r="AZ43" s="24" t="e">
        <f t="shared" si="92"/>
        <v>#VALUE!</v>
      </c>
      <c r="BA43" s="24" t="e">
        <f t="shared" si="93"/>
        <v>#VALUE!</v>
      </c>
      <c r="BB43" s="24" t="e">
        <f t="shared" si="94"/>
        <v>#VALUE!</v>
      </c>
      <c r="BC43" s="24" t="e">
        <f t="shared" si="95"/>
        <v>#VALUE!</v>
      </c>
      <c r="BD43" s="24" t="e">
        <f t="shared" si="96"/>
        <v>#VALUE!</v>
      </c>
      <c r="BE43" s="24" t="e">
        <f t="shared" si="97"/>
        <v>#VALUE!</v>
      </c>
      <c r="BF43" s="24" t="e">
        <f t="shared" si="98"/>
        <v>#VALUE!</v>
      </c>
      <c r="BG43" s="24" t="e">
        <f t="shared" si="99"/>
        <v>#VALUE!</v>
      </c>
      <c r="BH43" s="24" t="e">
        <f t="shared" si="100"/>
        <v>#VALUE!</v>
      </c>
      <c r="BI43" s="24" t="e">
        <f t="shared" si="101"/>
        <v>#VALUE!</v>
      </c>
    </row>
    <row r="44" spans="1:61" s="31" customFormat="1" ht="15" hidden="1" x14ac:dyDescent="0.25">
      <c r="A44" s="29" t="s">
        <v>43</v>
      </c>
      <c r="B44" s="30" t="e">
        <f>B19/10000*60*5*$B$28/1000</f>
        <v>#VALUE!</v>
      </c>
      <c r="C44" s="30" t="e">
        <f>C19/10000*60*10*$B$28/1000</f>
        <v>#VALUE!</v>
      </c>
      <c r="D44" s="30"/>
      <c r="E44" s="30" t="e">
        <f>D19/10000*60*20*$B$28/1000</f>
        <v>#VALUE!</v>
      </c>
      <c r="F44" s="30"/>
      <c r="G44" s="30" t="e">
        <f>E19/10000*60*30*$B$28/1000</f>
        <v>#VALUE!</v>
      </c>
      <c r="H44" s="30"/>
      <c r="I44" s="30" t="e">
        <f>F19/10000*60*40*$B$28/1000</f>
        <v>#VALUE!</v>
      </c>
      <c r="J44" s="30"/>
      <c r="K44" s="30" t="e">
        <f>G19/10000*60*50*$B$28/1000</f>
        <v>#VALUE!</v>
      </c>
      <c r="L44" s="30"/>
      <c r="M44" s="30" t="e">
        <f>H19/10000*60*60*$B$28/1000</f>
        <v>#VALUE!</v>
      </c>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row>
    <row r="45" spans="1:61" s="38" customFormat="1" ht="15" x14ac:dyDescent="0.25">
      <c r="A45" s="52" t="s">
        <v>52</v>
      </c>
      <c r="B45" s="35" t="e">
        <f t="shared" ref="B45:M45" si="102">D9*$B$28/1000/60*D$3</f>
        <v>#VALUE!</v>
      </c>
      <c r="C45" s="35" t="e">
        <f t="shared" si="102"/>
        <v>#VALUE!</v>
      </c>
      <c r="D45" s="35" t="e">
        <f t="shared" si="102"/>
        <v>#VALUE!</v>
      </c>
      <c r="E45" s="35" t="e">
        <f t="shared" si="102"/>
        <v>#VALUE!</v>
      </c>
      <c r="F45" s="35" t="e">
        <f t="shared" si="102"/>
        <v>#VALUE!</v>
      </c>
      <c r="G45" s="35" t="e">
        <f t="shared" si="102"/>
        <v>#VALUE!</v>
      </c>
      <c r="H45" s="35" t="e">
        <f t="shared" si="102"/>
        <v>#VALUE!</v>
      </c>
      <c r="I45" s="35" t="e">
        <f t="shared" si="102"/>
        <v>#VALUE!</v>
      </c>
      <c r="J45" s="35" t="e">
        <f t="shared" si="102"/>
        <v>#VALUE!</v>
      </c>
      <c r="K45" s="35" t="e">
        <f t="shared" si="102"/>
        <v>#VALUE!</v>
      </c>
      <c r="L45" s="35" t="e">
        <f t="shared" si="102"/>
        <v>#VALUE!</v>
      </c>
      <c r="M45" s="35" t="e">
        <f t="shared" si="102"/>
        <v>#VALUE!</v>
      </c>
      <c r="N45" s="35" t="e">
        <f t="shared" ref="N45:AC45" si="103">P9*$B$28/1000/60*P$3</f>
        <v>#VALUE!</v>
      </c>
      <c r="O45" s="35" t="e">
        <f t="shared" si="103"/>
        <v>#VALUE!</v>
      </c>
      <c r="P45" s="35" t="e">
        <f t="shared" si="103"/>
        <v>#VALUE!</v>
      </c>
      <c r="Q45" s="35" t="e">
        <f t="shared" si="103"/>
        <v>#VALUE!</v>
      </c>
      <c r="R45" s="35" t="e">
        <f t="shared" si="103"/>
        <v>#VALUE!</v>
      </c>
      <c r="S45" s="35" t="e">
        <f t="shared" si="103"/>
        <v>#VALUE!</v>
      </c>
      <c r="T45" s="35" t="e">
        <f t="shared" si="103"/>
        <v>#VALUE!</v>
      </c>
      <c r="U45" s="35" t="e">
        <f t="shared" si="103"/>
        <v>#VALUE!</v>
      </c>
      <c r="V45" s="35" t="e">
        <f t="shared" si="103"/>
        <v>#VALUE!</v>
      </c>
      <c r="W45" s="35" t="e">
        <f t="shared" si="103"/>
        <v>#VALUE!</v>
      </c>
      <c r="X45" s="35" t="e">
        <f t="shared" si="103"/>
        <v>#VALUE!</v>
      </c>
      <c r="Y45" s="35" t="e">
        <f t="shared" si="103"/>
        <v>#VALUE!</v>
      </c>
      <c r="Z45" s="35" t="e">
        <f t="shared" si="103"/>
        <v>#VALUE!</v>
      </c>
      <c r="AA45" s="35" t="e">
        <f t="shared" si="103"/>
        <v>#VALUE!</v>
      </c>
      <c r="AB45" s="35" t="e">
        <f t="shared" si="103"/>
        <v>#VALUE!</v>
      </c>
      <c r="AC45" s="35" t="e">
        <f t="shared" si="103"/>
        <v>#VALUE!</v>
      </c>
      <c r="AD45" s="35" t="e">
        <f t="shared" ref="AD45" si="104">AF9*$B$28/1000/60*AF$3</f>
        <v>#VALUE!</v>
      </c>
      <c r="AE45" s="35" t="e">
        <f t="shared" ref="AE45" si="105">AG9*$B$28/1000/60*AG$3</f>
        <v>#VALUE!</v>
      </c>
      <c r="AF45" s="35" t="e">
        <f t="shared" ref="AF45" si="106">AH9*$B$28/1000/60*AH$3</f>
        <v>#VALUE!</v>
      </c>
      <c r="AG45" s="35" t="e">
        <f t="shared" ref="AG45" si="107">AI9*$B$28/1000/60*AI$3</f>
        <v>#VALUE!</v>
      </c>
      <c r="AH45" s="35" t="e">
        <f t="shared" ref="AH45" si="108">AJ9*$B$28/1000/60*AJ$3</f>
        <v>#VALUE!</v>
      </c>
      <c r="AI45" s="35" t="e">
        <f t="shared" ref="AI45" si="109">AK9*$B$28/1000/60*AK$3</f>
        <v>#VALUE!</v>
      </c>
      <c r="AJ45" s="35" t="e">
        <f t="shared" ref="AJ45" si="110">AL9*$B$28/1000/60*AL$3</f>
        <v>#VALUE!</v>
      </c>
      <c r="AK45" s="35" t="e">
        <f t="shared" ref="AK45" si="111">AM9*$B$28/1000/60*AM$3</f>
        <v>#VALUE!</v>
      </c>
      <c r="AL45" s="35" t="e">
        <f t="shared" ref="AL45" si="112">AN9*$B$28/1000/60*AN$3</f>
        <v>#VALUE!</v>
      </c>
      <c r="AM45" s="35" t="e">
        <f t="shared" ref="AM45" si="113">AO9*$B$28/1000/60*AO$3</f>
        <v>#VALUE!</v>
      </c>
      <c r="AN45" s="35" t="e">
        <f t="shared" ref="AN45" si="114">AP9*$B$28/1000/60*AP$3</f>
        <v>#VALUE!</v>
      </c>
      <c r="AO45" s="35" t="e">
        <f t="shared" ref="AO45" si="115">AQ9*$B$28/1000/60*AQ$3</f>
        <v>#VALUE!</v>
      </c>
      <c r="AP45" s="35" t="e">
        <f t="shared" ref="AP45" si="116">AR9*$B$28/1000/60*AR$3</f>
        <v>#VALUE!</v>
      </c>
      <c r="AQ45" s="35" t="e">
        <f t="shared" ref="AQ45" si="117">AS9*$B$28/1000/60*AS$3</f>
        <v>#VALUE!</v>
      </c>
      <c r="AR45" s="35" t="e">
        <f t="shared" ref="AR45" si="118">AT9*$B$28/1000/60*AT$3</f>
        <v>#VALUE!</v>
      </c>
      <c r="AS45" s="35" t="e">
        <f t="shared" ref="AS45" si="119">AU9*$B$28/1000/60*AU$3</f>
        <v>#VALUE!</v>
      </c>
      <c r="AT45" s="35" t="e">
        <f t="shared" ref="AT45" si="120">AV9*$B$28/1000/60*AV$3</f>
        <v>#VALUE!</v>
      </c>
      <c r="AU45" s="35" t="e">
        <f t="shared" ref="AU45" si="121">AW9*$B$28/1000/60*AW$3</f>
        <v>#VALUE!</v>
      </c>
      <c r="AV45" s="35" t="e">
        <f t="shared" ref="AV45" si="122">AX9*$B$28/1000/60*AX$3</f>
        <v>#VALUE!</v>
      </c>
      <c r="AW45" s="35" t="e">
        <f t="shared" ref="AW45" si="123">AY9*$B$28/1000/60*AY$3</f>
        <v>#VALUE!</v>
      </c>
      <c r="AX45" s="35" t="e">
        <f t="shared" ref="AX45" si="124">AZ9*$B$28/1000/60*AZ$3</f>
        <v>#VALUE!</v>
      </c>
      <c r="AY45" s="35" t="e">
        <f t="shared" ref="AY45" si="125">BA9*$B$28/1000/60*BA$3</f>
        <v>#VALUE!</v>
      </c>
      <c r="AZ45" s="35" t="e">
        <f t="shared" ref="AZ45" si="126">BB9*$B$28/1000/60*BB$3</f>
        <v>#VALUE!</v>
      </c>
      <c r="BA45" s="35" t="e">
        <f t="shared" ref="BA45" si="127">BC9*$B$28/1000/60*BC$3</f>
        <v>#VALUE!</v>
      </c>
      <c r="BB45" s="35" t="e">
        <f t="shared" ref="BB45" si="128">BD9*$B$28/1000/60*BD$3</f>
        <v>#VALUE!</v>
      </c>
      <c r="BC45" s="35" t="e">
        <f t="shared" ref="BC45" si="129">BE9*$B$28/1000/60*BE$3</f>
        <v>#VALUE!</v>
      </c>
      <c r="BD45" s="35" t="e">
        <f t="shared" ref="BD45" si="130">BF9*$B$28/1000/60*BF$3</f>
        <v>#VALUE!</v>
      </c>
      <c r="BE45" s="35" t="e">
        <f t="shared" ref="BE45" si="131">BG9*$B$28/1000/60*BG$3</f>
        <v>#VALUE!</v>
      </c>
      <c r="BF45" s="35" t="e">
        <f t="shared" ref="BF45" si="132">BH9*$B$28/1000/60*BH$3</f>
        <v>#VALUE!</v>
      </c>
      <c r="BG45" s="35" t="e">
        <f t="shared" ref="BG45" si="133">BI9*$B$28/1000/60*BI$3</f>
        <v>#VALUE!</v>
      </c>
      <c r="BH45" s="35" t="e">
        <f t="shared" ref="BH45" si="134">BJ9*$B$28/1000/60*BJ$3</f>
        <v>#VALUE!</v>
      </c>
      <c r="BI45" s="35" t="e">
        <f t="shared" ref="BI45" si="135">BK9*$B$28/1000/60*BK$3</f>
        <v>#VALUE!</v>
      </c>
    </row>
    <row r="46" spans="1:61" ht="15" hidden="1" x14ac:dyDescent="0.25">
      <c r="A46" s="10" t="s">
        <v>44</v>
      </c>
      <c r="B46" s="24" t="e">
        <f>B20/10000*60*5*$B$28/1000</f>
        <v>#VALUE!</v>
      </c>
      <c r="C46" s="24" t="e">
        <f>C20/10000*60*10*$B$28/1000</f>
        <v>#VALUE!</v>
      </c>
      <c r="D46" s="24"/>
      <c r="E46" s="24" t="e">
        <f>D20/10000*60*20*$B$28/1000</f>
        <v>#VALUE!</v>
      </c>
      <c r="F46" s="24"/>
      <c r="G46" s="24" t="e">
        <f>E20/10000*60*30*$B$28/1000</f>
        <v>#VALUE!</v>
      </c>
      <c r="H46" s="24"/>
      <c r="I46" s="24" t="e">
        <f>F20/10000*60*40*$B$28/1000</f>
        <v>#VALUE!</v>
      </c>
      <c r="J46" s="24"/>
      <c r="K46" s="24" t="e">
        <f>G20/10000*60*50*$B$28/1000</f>
        <v>#VALUE!</v>
      </c>
      <c r="L46" s="24"/>
      <c r="M46" s="24" t="e">
        <f>H20/10000*60*60*$B$28/1000</f>
        <v>#VALUE!</v>
      </c>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row>
    <row r="47" spans="1:61" ht="15" x14ac:dyDescent="0.25">
      <c r="A47" s="10" t="s">
        <v>53</v>
      </c>
      <c r="B47" s="24" t="e">
        <f t="shared" ref="B47:M47" si="136">D10*$B$28/1000/60*D$3</f>
        <v>#VALUE!</v>
      </c>
      <c r="C47" s="24" t="e">
        <f t="shared" si="136"/>
        <v>#VALUE!</v>
      </c>
      <c r="D47" s="24" t="e">
        <f t="shared" si="136"/>
        <v>#VALUE!</v>
      </c>
      <c r="E47" s="24" t="e">
        <f t="shared" si="136"/>
        <v>#VALUE!</v>
      </c>
      <c r="F47" s="24" t="e">
        <f t="shared" si="136"/>
        <v>#VALUE!</v>
      </c>
      <c r="G47" s="24" t="e">
        <f t="shared" si="136"/>
        <v>#VALUE!</v>
      </c>
      <c r="H47" s="24" t="e">
        <f t="shared" si="136"/>
        <v>#VALUE!</v>
      </c>
      <c r="I47" s="24" t="e">
        <f t="shared" si="136"/>
        <v>#VALUE!</v>
      </c>
      <c r="J47" s="24" t="e">
        <f t="shared" si="136"/>
        <v>#VALUE!</v>
      </c>
      <c r="K47" s="24" t="e">
        <f t="shared" si="136"/>
        <v>#VALUE!</v>
      </c>
      <c r="L47" s="24" t="e">
        <f t="shared" si="136"/>
        <v>#VALUE!</v>
      </c>
      <c r="M47" s="24" t="e">
        <f t="shared" si="136"/>
        <v>#VALUE!</v>
      </c>
      <c r="N47" s="24" t="e">
        <f t="shared" ref="N47" si="137">P10*$B$28/1000/60*P$3</f>
        <v>#VALUE!</v>
      </c>
      <c r="O47" s="24" t="e">
        <f t="shared" ref="O47" si="138">Q10*$B$28/1000/60*Q$3</f>
        <v>#VALUE!</v>
      </c>
      <c r="P47" s="24" t="e">
        <f t="shared" ref="P47" si="139">R10*$B$28/1000/60*R$3</f>
        <v>#VALUE!</v>
      </c>
      <c r="Q47" s="24" t="e">
        <f t="shared" ref="Q47" si="140">S10*$B$28/1000/60*S$3</f>
        <v>#VALUE!</v>
      </c>
      <c r="R47" s="24" t="e">
        <f t="shared" ref="R47" si="141">T10*$B$28/1000/60*T$3</f>
        <v>#VALUE!</v>
      </c>
      <c r="S47" s="24" t="e">
        <f t="shared" ref="S47" si="142">U10*$B$28/1000/60*U$3</f>
        <v>#VALUE!</v>
      </c>
      <c r="T47" s="24" t="e">
        <f t="shared" ref="T47" si="143">V10*$B$28/1000/60*V$3</f>
        <v>#VALUE!</v>
      </c>
      <c r="U47" s="24" t="e">
        <f t="shared" ref="U47" si="144">W10*$B$28/1000/60*W$3</f>
        <v>#VALUE!</v>
      </c>
      <c r="V47" s="24" t="e">
        <f t="shared" ref="V47" si="145">X10*$B$28/1000/60*X$3</f>
        <v>#VALUE!</v>
      </c>
      <c r="W47" s="24" t="e">
        <f t="shared" ref="W47" si="146">Y10*$B$28/1000/60*Y$3</f>
        <v>#VALUE!</v>
      </c>
      <c r="X47" s="24" t="e">
        <f t="shared" ref="X47" si="147">Z10*$B$28/1000/60*Z$3</f>
        <v>#VALUE!</v>
      </c>
      <c r="Y47" s="24" t="e">
        <f t="shared" ref="Y47" si="148">AA10*$B$28/1000/60*AA$3</f>
        <v>#VALUE!</v>
      </c>
      <c r="Z47" s="24" t="e">
        <f t="shared" ref="Z47" si="149">AB10*$B$28/1000/60*AB$3</f>
        <v>#VALUE!</v>
      </c>
      <c r="AA47" s="24" t="e">
        <f t="shared" ref="AA47" si="150">AC10*$B$28/1000/60*AC$3</f>
        <v>#VALUE!</v>
      </c>
      <c r="AB47" s="24" t="e">
        <f t="shared" ref="AB47" si="151">AD10*$B$28/1000/60*AD$3</f>
        <v>#VALUE!</v>
      </c>
      <c r="AC47" s="24" t="e">
        <f t="shared" ref="AC47" si="152">AE10*$B$28/1000/60*AE$3</f>
        <v>#VALUE!</v>
      </c>
      <c r="AD47" s="24" t="e">
        <f t="shared" ref="AD47" si="153">AF10*$B$28/1000/60*AF$3</f>
        <v>#VALUE!</v>
      </c>
      <c r="AE47" s="24" t="e">
        <f t="shared" ref="AE47" si="154">AG10*$B$28/1000/60*AG$3</f>
        <v>#VALUE!</v>
      </c>
      <c r="AF47" s="24" t="e">
        <f t="shared" ref="AF47" si="155">AH10*$B$28/1000/60*AH$3</f>
        <v>#VALUE!</v>
      </c>
      <c r="AG47" s="24" t="e">
        <f t="shared" ref="AG47" si="156">AI10*$B$28/1000/60*AI$3</f>
        <v>#VALUE!</v>
      </c>
      <c r="AH47" s="24" t="e">
        <f t="shared" ref="AH47" si="157">AJ10*$B$28/1000/60*AJ$3</f>
        <v>#VALUE!</v>
      </c>
      <c r="AI47" s="24" t="e">
        <f t="shared" ref="AI47" si="158">AK10*$B$28/1000/60*AK$3</f>
        <v>#VALUE!</v>
      </c>
      <c r="AJ47" s="24" t="e">
        <f t="shared" ref="AJ47" si="159">AL10*$B$28/1000/60*AL$3</f>
        <v>#VALUE!</v>
      </c>
      <c r="AK47" s="24" t="e">
        <f t="shared" ref="AK47" si="160">AM10*$B$28/1000/60*AM$3</f>
        <v>#VALUE!</v>
      </c>
      <c r="AL47" s="24" t="e">
        <f t="shared" ref="AL47" si="161">AN10*$B$28/1000/60*AN$3</f>
        <v>#VALUE!</v>
      </c>
      <c r="AM47" s="24" t="e">
        <f t="shared" ref="AM47" si="162">AO10*$B$28/1000/60*AO$3</f>
        <v>#VALUE!</v>
      </c>
      <c r="AN47" s="24" t="e">
        <f t="shared" ref="AN47" si="163">AP10*$B$28/1000/60*AP$3</f>
        <v>#VALUE!</v>
      </c>
      <c r="AO47" s="24" t="e">
        <f t="shared" ref="AO47" si="164">AQ10*$B$28/1000/60*AQ$3</f>
        <v>#VALUE!</v>
      </c>
      <c r="AP47" s="24" t="e">
        <f t="shared" ref="AP47" si="165">AR10*$B$28/1000/60*AR$3</f>
        <v>#VALUE!</v>
      </c>
      <c r="AQ47" s="24" t="e">
        <f t="shared" ref="AQ47" si="166">AS10*$B$28/1000/60*AS$3</f>
        <v>#VALUE!</v>
      </c>
      <c r="AR47" s="24" t="e">
        <f t="shared" ref="AR47" si="167">AT10*$B$28/1000/60*AT$3</f>
        <v>#VALUE!</v>
      </c>
      <c r="AS47" s="24" t="e">
        <f t="shared" ref="AS47" si="168">AU10*$B$28/1000/60*AU$3</f>
        <v>#VALUE!</v>
      </c>
      <c r="AT47" s="24" t="e">
        <f t="shared" ref="AT47" si="169">AV10*$B$28/1000/60*AV$3</f>
        <v>#VALUE!</v>
      </c>
      <c r="AU47" s="24" t="e">
        <f t="shared" ref="AU47" si="170">AW10*$B$28/1000/60*AW$3</f>
        <v>#VALUE!</v>
      </c>
      <c r="AV47" s="24" t="e">
        <f t="shared" ref="AV47" si="171">AX10*$B$28/1000/60*AX$3</f>
        <v>#VALUE!</v>
      </c>
      <c r="AW47" s="24" t="e">
        <f t="shared" ref="AW47" si="172">AY10*$B$28/1000/60*AY$3</f>
        <v>#VALUE!</v>
      </c>
      <c r="AX47" s="24" t="e">
        <f t="shared" ref="AX47" si="173">AZ10*$B$28/1000/60*AZ$3</f>
        <v>#VALUE!</v>
      </c>
      <c r="AY47" s="24" t="e">
        <f t="shared" ref="AY47" si="174">BA10*$B$28/1000/60*BA$3</f>
        <v>#VALUE!</v>
      </c>
      <c r="AZ47" s="24" t="e">
        <f t="shared" ref="AZ47" si="175">BB10*$B$28/1000/60*BB$3</f>
        <v>#VALUE!</v>
      </c>
      <c r="BA47" s="24" t="e">
        <f t="shared" ref="BA47" si="176">BC10*$B$28/1000/60*BC$3</f>
        <v>#VALUE!</v>
      </c>
      <c r="BB47" s="24" t="e">
        <f t="shared" ref="BB47" si="177">BD10*$B$28/1000/60*BD$3</f>
        <v>#VALUE!</v>
      </c>
      <c r="BC47" s="24" t="e">
        <f t="shared" ref="BC47" si="178">BE10*$B$28/1000/60*BE$3</f>
        <v>#VALUE!</v>
      </c>
      <c r="BD47" s="24" t="e">
        <f t="shared" ref="BD47" si="179">BF10*$B$28/1000/60*BF$3</f>
        <v>#VALUE!</v>
      </c>
      <c r="BE47" s="24" t="e">
        <f t="shared" ref="BE47" si="180">BG10*$B$28/1000/60*BG$3</f>
        <v>#VALUE!</v>
      </c>
      <c r="BF47" s="24" t="e">
        <f t="shared" ref="BF47" si="181">BH10*$B$28/1000/60*BH$3</f>
        <v>#VALUE!</v>
      </c>
      <c r="BG47" s="24" t="e">
        <f t="shared" ref="BG47" si="182">BI10*$B$28/1000/60*BI$3</f>
        <v>#VALUE!</v>
      </c>
      <c r="BH47" s="24" t="e">
        <f t="shared" ref="BH47" si="183">BJ10*$B$28/1000/60*BJ$3</f>
        <v>#VALUE!</v>
      </c>
      <c r="BI47" s="24" t="e">
        <f t="shared" ref="BI47" si="184">BK10*$B$28/1000/60*BK$3</f>
        <v>#VALUE!</v>
      </c>
    </row>
    <row r="48" spans="1:61" ht="15" hidden="1" x14ac:dyDescent="0.25">
      <c r="A48" s="10" t="s">
        <v>45</v>
      </c>
      <c r="B48" s="24" t="e">
        <f>B21/10000*60*5*$B$28/1000</f>
        <v>#VALUE!</v>
      </c>
      <c r="C48" s="24" t="e">
        <f>C21/10000*60*10*$B$28/1000</f>
        <v>#VALUE!</v>
      </c>
      <c r="D48" s="24"/>
      <c r="E48" s="24" t="e">
        <f>D21/10000*60*20*$B$28/1000</f>
        <v>#VALUE!</v>
      </c>
      <c r="F48" s="24"/>
      <c r="G48" s="24" t="e">
        <f>E21/10000*60*30*$B$28/1000</f>
        <v>#VALUE!</v>
      </c>
      <c r="H48" s="24"/>
      <c r="I48" s="24" t="e">
        <f>F21/10000*60*40*$B$28/1000</f>
        <v>#VALUE!</v>
      </c>
      <c r="J48" s="24"/>
      <c r="K48" s="24" t="e">
        <f>G21/10000*60*50*$B$28/1000</f>
        <v>#VALUE!</v>
      </c>
      <c r="L48" s="24"/>
      <c r="M48" s="24" t="e">
        <f>H21/10000*60*60*$B$28/1000</f>
        <v>#VALUE!</v>
      </c>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row>
    <row r="49" spans="1:61" ht="15" x14ac:dyDescent="0.25">
      <c r="A49" s="10" t="s">
        <v>54</v>
      </c>
      <c r="B49" s="24" t="e">
        <f>D11*$B$28/1000/60*D$3</f>
        <v>#VALUE!</v>
      </c>
      <c r="C49" s="24" t="e">
        <f t="shared" ref="C49:M49" si="185">E11*$B$28/1000/60*E$3</f>
        <v>#VALUE!</v>
      </c>
      <c r="D49" s="24" t="e">
        <f>F11*$B$28/1000/60*F$3</f>
        <v>#VALUE!</v>
      </c>
      <c r="E49" s="24" t="e">
        <f t="shared" si="185"/>
        <v>#VALUE!</v>
      </c>
      <c r="F49" s="24" t="e">
        <f t="shared" si="185"/>
        <v>#VALUE!</v>
      </c>
      <c r="G49" s="24" t="e">
        <f t="shared" si="185"/>
        <v>#VALUE!</v>
      </c>
      <c r="H49" s="24" t="e">
        <f t="shared" si="185"/>
        <v>#VALUE!</v>
      </c>
      <c r="I49" s="24" t="e">
        <f t="shared" si="185"/>
        <v>#VALUE!</v>
      </c>
      <c r="J49" s="24" t="e">
        <f t="shared" si="185"/>
        <v>#VALUE!</v>
      </c>
      <c r="K49" s="24" t="e">
        <f t="shared" si="185"/>
        <v>#VALUE!</v>
      </c>
      <c r="L49" s="24" t="e">
        <f t="shared" si="185"/>
        <v>#VALUE!</v>
      </c>
      <c r="M49" s="24" t="e">
        <f t="shared" si="185"/>
        <v>#VALUE!</v>
      </c>
      <c r="N49" s="24" t="e">
        <f t="shared" ref="N49" si="186">P11*$B$28/1000/60*P$3</f>
        <v>#VALUE!</v>
      </c>
      <c r="O49" s="24" t="e">
        <f t="shared" ref="O49" si="187">Q11*$B$28/1000/60*Q$3</f>
        <v>#VALUE!</v>
      </c>
      <c r="P49" s="24" t="e">
        <f t="shared" ref="P49" si="188">R11*$B$28/1000/60*R$3</f>
        <v>#VALUE!</v>
      </c>
      <c r="Q49" s="24" t="e">
        <f t="shared" ref="Q49" si="189">S11*$B$28/1000/60*S$3</f>
        <v>#VALUE!</v>
      </c>
      <c r="R49" s="24" t="e">
        <f t="shared" ref="R49" si="190">T11*$B$28/1000/60*T$3</f>
        <v>#VALUE!</v>
      </c>
      <c r="S49" s="24" t="e">
        <f t="shared" ref="S49" si="191">U11*$B$28/1000/60*U$3</f>
        <v>#VALUE!</v>
      </c>
      <c r="T49" s="24" t="e">
        <f t="shared" ref="T49" si="192">V11*$B$28/1000/60*V$3</f>
        <v>#VALUE!</v>
      </c>
      <c r="U49" s="24" t="e">
        <f t="shared" ref="U49" si="193">W11*$B$28/1000/60*W$3</f>
        <v>#VALUE!</v>
      </c>
      <c r="V49" s="24" t="e">
        <f t="shared" ref="V49" si="194">X11*$B$28/1000/60*X$3</f>
        <v>#VALUE!</v>
      </c>
      <c r="W49" s="24" t="e">
        <f t="shared" ref="W49" si="195">Y11*$B$28/1000/60*Y$3</f>
        <v>#VALUE!</v>
      </c>
      <c r="X49" s="24" t="e">
        <f t="shared" ref="X49" si="196">Z11*$B$28/1000/60*Z$3</f>
        <v>#VALUE!</v>
      </c>
      <c r="Y49" s="24" t="e">
        <f t="shared" ref="Y49" si="197">AA11*$B$28/1000/60*AA$3</f>
        <v>#VALUE!</v>
      </c>
      <c r="Z49" s="24" t="e">
        <f t="shared" ref="Z49" si="198">AB11*$B$28/1000/60*AB$3</f>
        <v>#VALUE!</v>
      </c>
      <c r="AA49" s="24" t="e">
        <f t="shared" ref="AA49" si="199">AC11*$B$28/1000/60*AC$3</f>
        <v>#VALUE!</v>
      </c>
      <c r="AB49" s="24" t="e">
        <f t="shared" ref="AB49" si="200">AD11*$B$28/1000/60*AD$3</f>
        <v>#VALUE!</v>
      </c>
      <c r="AC49" s="24" t="e">
        <f t="shared" ref="AC49" si="201">AE11*$B$28/1000/60*AE$3</f>
        <v>#VALUE!</v>
      </c>
      <c r="AD49" s="24" t="e">
        <f t="shared" ref="AD49" si="202">AF11*$B$28/1000/60*AF$3</f>
        <v>#VALUE!</v>
      </c>
      <c r="AE49" s="24" t="e">
        <f t="shared" ref="AE49" si="203">AG11*$B$28/1000/60*AG$3</f>
        <v>#VALUE!</v>
      </c>
      <c r="AF49" s="24" t="e">
        <f t="shared" ref="AF49" si="204">AH11*$B$28/1000/60*AH$3</f>
        <v>#VALUE!</v>
      </c>
      <c r="AG49" s="24" t="e">
        <f t="shared" ref="AG49" si="205">AI11*$B$28/1000/60*AI$3</f>
        <v>#VALUE!</v>
      </c>
      <c r="AH49" s="24" t="e">
        <f t="shared" ref="AH49" si="206">AJ11*$B$28/1000/60*AJ$3</f>
        <v>#VALUE!</v>
      </c>
      <c r="AI49" s="24" t="e">
        <f t="shared" ref="AI49" si="207">AK11*$B$28/1000/60*AK$3</f>
        <v>#VALUE!</v>
      </c>
      <c r="AJ49" s="24" t="e">
        <f t="shared" ref="AJ49" si="208">AL11*$B$28/1000/60*AL$3</f>
        <v>#VALUE!</v>
      </c>
      <c r="AK49" s="24" t="e">
        <f t="shared" ref="AK49" si="209">AM11*$B$28/1000/60*AM$3</f>
        <v>#VALUE!</v>
      </c>
      <c r="AL49" s="24" t="e">
        <f t="shared" ref="AL49" si="210">AN11*$B$28/1000/60*AN$3</f>
        <v>#VALUE!</v>
      </c>
      <c r="AM49" s="24" t="e">
        <f t="shared" ref="AM49" si="211">AO11*$B$28/1000/60*AO$3</f>
        <v>#VALUE!</v>
      </c>
      <c r="AN49" s="24" t="e">
        <f t="shared" ref="AN49" si="212">AP11*$B$28/1000/60*AP$3</f>
        <v>#VALUE!</v>
      </c>
      <c r="AO49" s="24" t="e">
        <f t="shared" ref="AO49" si="213">AQ11*$B$28/1000/60*AQ$3</f>
        <v>#VALUE!</v>
      </c>
      <c r="AP49" s="24" t="e">
        <f t="shared" ref="AP49" si="214">AR11*$B$28/1000/60*AR$3</f>
        <v>#VALUE!</v>
      </c>
      <c r="AQ49" s="24" t="e">
        <f t="shared" ref="AQ49" si="215">AS11*$B$28/1000/60*AS$3</f>
        <v>#VALUE!</v>
      </c>
      <c r="AR49" s="24" t="e">
        <f t="shared" ref="AR49" si="216">AT11*$B$28/1000/60*AT$3</f>
        <v>#VALUE!</v>
      </c>
      <c r="AS49" s="24" t="e">
        <f t="shared" ref="AS49" si="217">AU11*$B$28/1000/60*AU$3</f>
        <v>#VALUE!</v>
      </c>
      <c r="AT49" s="24" t="e">
        <f t="shared" ref="AT49" si="218">AV11*$B$28/1000/60*AV$3</f>
        <v>#VALUE!</v>
      </c>
      <c r="AU49" s="24" t="e">
        <f t="shared" ref="AU49" si="219">AW11*$B$28/1000/60*AW$3</f>
        <v>#VALUE!</v>
      </c>
      <c r="AV49" s="24" t="e">
        <f t="shared" ref="AV49" si="220">AX11*$B$28/1000/60*AX$3</f>
        <v>#VALUE!</v>
      </c>
      <c r="AW49" s="24" t="e">
        <f t="shared" ref="AW49" si="221">AY11*$B$28/1000/60*AY$3</f>
        <v>#VALUE!</v>
      </c>
      <c r="AX49" s="24" t="e">
        <f t="shared" ref="AX49" si="222">AZ11*$B$28/1000/60*AZ$3</f>
        <v>#VALUE!</v>
      </c>
      <c r="AY49" s="24" t="e">
        <f t="shared" ref="AY49" si="223">BA11*$B$28/1000/60*BA$3</f>
        <v>#VALUE!</v>
      </c>
      <c r="AZ49" s="24" t="e">
        <f t="shared" ref="AZ49" si="224">BB11*$B$28/1000/60*BB$3</f>
        <v>#VALUE!</v>
      </c>
      <c r="BA49" s="24" t="e">
        <f t="shared" ref="BA49" si="225">BC11*$B$28/1000/60*BC$3</f>
        <v>#VALUE!</v>
      </c>
      <c r="BB49" s="24" t="e">
        <f t="shared" ref="BB49" si="226">BD11*$B$28/1000/60*BD$3</f>
        <v>#VALUE!</v>
      </c>
      <c r="BC49" s="24" t="e">
        <f t="shared" ref="BC49" si="227">BE11*$B$28/1000/60*BE$3</f>
        <v>#VALUE!</v>
      </c>
      <c r="BD49" s="24" t="e">
        <f t="shared" ref="BD49" si="228">BF11*$B$28/1000/60*BF$3</f>
        <v>#VALUE!</v>
      </c>
      <c r="BE49" s="24" t="e">
        <f t="shared" ref="BE49" si="229">BG11*$B$28/1000/60*BG$3</f>
        <v>#VALUE!</v>
      </c>
      <c r="BF49" s="24" t="e">
        <f t="shared" ref="BF49" si="230">BH11*$B$28/1000/60*BH$3</f>
        <v>#VALUE!</v>
      </c>
      <c r="BG49" s="24" t="e">
        <f t="shared" ref="BG49" si="231">BI11*$B$28/1000/60*BI$3</f>
        <v>#VALUE!</v>
      </c>
      <c r="BH49" s="24" t="e">
        <f t="shared" ref="BH49" si="232">BJ11*$B$28/1000/60*BJ$3</f>
        <v>#VALUE!</v>
      </c>
      <c r="BI49" s="24" t="e">
        <f t="shared" ref="BI49" si="233">BK11*$B$28/1000/60*BK$3</f>
        <v>#VALUE!</v>
      </c>
    </row>
    <row r="50" spans="1:61" ht="15" hidden="1" x14ac:dyDescent="0.25">
      <c r="A50" s="10" t="s">
        <v>46</v>
      </c>
      <c r="B50" s="24" t="e">
        <f>B22/10000*60*5*$B$28/1000</f>
        <v>#VALUE!</v>
      </c>
      <c r="C50" s="24" t="e">
        <f>C22/10000*60*10*$B$28/1000</f>
        <v>#VALUE!</v>
      </c>
      <c r="D50" s="24"/>
      <c r="E50" s="24" t="e">
        <f>D22/10000*60*20*$B$28/1000</f>
        <v>#VALUE!</v>
      </c>
      <c r="F50" s="24"/>
      <c r="G50" s="24" t="e">
        <f>E22/10000*60*30*$B$28/1000</f>
        <v>#VALUE!</v>
      </c>
      <c r="H50" s="24"/>
      <c r="I50" s="24" t="e">
        <f>F22/10000*60*40*$B$28/1000</f>
        <v>#VALUE!</v>
      </c>
      <c r="J50" s="24"/>
      <c r="K50" s="24" t="e">
        <f>G22/10000*60*50*$B$28/1000</f>
        <v>#VALUE!</v>
      </c>
      <c r="L50" s="24"/>
      <c r="M50" s="24" t="e">
        <f>H22/10000*60*60*$B$28/1000</f>
        <v>#VALUE!</v>
      </c>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row>
    <row r="51" spans="1:61" ht="15" hidden="1" x14ac:dyDescent="0.25">
      <c r="A51" s="10" t="s">
        <v>47</v>
      </c>
      <c r="B51" s="24" t="e">
        <f>B23/10000*60*5*$B$28/1000</f>
        <v>#VALUE!</v>
      </c>
      <c r="C51" s="24" t="e">
        <f>C23/10000*60*10*$B$28/1000</f>
        <v>#VALUE!</v>
      </c>
      <c r="D51" s="24"/>
      <c r="E51" s="24" t="e">
        <f>D23/10000*60*20*$B$28/1000</f>
        <v>#VALUE!</v>
      </c>
      <c r="F51" s="24"/>
      <c r="G51" s="24" t="e">
        <f>E23/10000*60*30*$B$28/1000</f>
        <v>#VALUE!</v>
      </c>
      <c r="H51" s="24"/>
      <c r="I51" s="24" t="e">
        <f>F23/10000*60*40*$B$28/1000</f>
        <v>#VALUE!</v>
      </c>
      <c r="J51" s="24"/>
      <c r="K51" s="24" t="e">
        <f>G23/10000*60*50*$B$28/1000</f>
        <v>#VALUE!</v>
      </c>
      <c r="L51" s="24"/>
      <c r="M51" s="24" t="e">
        <f>H23/10000*60*60*$B$28/1000</f>
        <v>#VALUE!</v>
      </c>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row>
    <row r="52" spans="1:61" ht="15" hidden="1" x14ac:dyDescent="0.25">
      <c r="A52" s="10" t="s">
        <v>48</v>
      </c>
      <c r="B52" s="24" t="e">
        <f>B24/10000*60*5*$B$28/1000</f>
        <v>#VALUE!</v>
      </c>
      <c r="C52" s="24" t="e">
        <f>C24/10000*60*10*$B$28/1000</f>
        <v>#VALUE!</v>
      </c>
      <c r="D52" s="24"/>
      <c r="E52" s="24" t="e">
        <f>D24/10000*60*20*$B$28/1000</f>
        <v>#VALUE!</v>
      </c>
      <c r="F52" s="24"/>
      <c r="G52" s="24" t="e">
        <f>E24/10000*60*30*$B$28/1000</f>
        <v>#VALUE!</v>
      </c>
      <c r="H52" s="24"/>
      <c r="I52" s="24" t="e">
        <f>F24/10000*60*40*$B$28/1000</f>
        <v>#VALUE!</v>
      </c>
      <c r="J52" s="24"/>
      <c r="K52" s="24" t="e">
        <f>G24/10000*60*50*$B$28/1000</f>
        <v>#VALUE!</v>
      </c>
      <c r="L52" s="24"/>
      <c r="M52" s="24" t="e">
        <f>H24/10000*60*60*$B$28/1000</f>
        <v>#VALUE!</v>
      </c>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row>
    <row r="53" spans="1:61" s="51" customFormat="1" x14ac:dyDescent="0.3">
      <c r="A53" s="49" t="s">
        <v>68</v>
      </c>
      <c r="B53" s="50" t="e">
        <f>$B$57*B38</f>
        <v>#VALUE!</v>
      </c>
      <c r="C53" s="50" t="e">
        <f t="shared" ref="C53:L53" si="234">$B$57*C38</f>
        <v>#VALUE!</v>
      </c>
      <c r="D53" s="50" t="e">
        <f t="shared" si="234"/>
        <v>#VALUE!</v>
      </c>
      <c r="E53" s="50" t="e">
        <f t="shared" si="234"/>
        <v>#VALUE!</v>
      </c>
      <c r="F53" s="50" t="e">
        <f t="shared" si="234"/>
        <v>#VALUE!</v>
      </c>
      <c r="G53" s="50" t="e">
        <f t="shared" si="234"/>
        <v>#VALUE!</v>
      </c>
      <c r="H53" s="50" t="e">
        <f t="shared" si="234"/>
        <v>#VALUE!</v>
      </c>
      <c r="I53" s="50" t="e">
        <f t="shared" si="234"/>
        <v>#VALUE!</v>
      </c>
      <c r="J53" s="50" t="e">
        <f t="shared" si="234"/>
        <v>#VALUE!</v>
      </c>
      <c r="K53" s="50" t="e">
        <f t="shared" si="234"/>
        <v>#VALUE!</v>
      </c>
      <c r="L53" s="50" t="e">
        <f t="shared" si="234"/>
        <v>#VALUE!</v>
      </c>
      <c r="M53" s="50" t="e">
        <f>$B$57*M38</f>
        <v>#VALUE!</v>
      </c>
      <c r="N53" s="50" t="e">
        <f t="shared" ref="N53:AC53" si="235">$B$57*N38</f>
        <v>#VALUE!</v>
      </c>
      <c r="O53" s="50" t="e">
        <f t="shared" si="235"/>
        <v>#VALUE!</v>
      </c>
      <c r="P53" s="50" t="e">
        <f t="shared" si="235"/>
        <v>#VALUE!</v>
      </c>
      <c r="Q53" s="50" t="e">
        <f t="shared" si="235"/>
        <v>#VALUE!</v>
      </c>
      <c r="R53" s="50" t="e">
        <f t="shared" si="235"/>
        <v>#VALUE!</v>
      </c>
      <c r="S53" s="50" t="e">
        <f t="shared" si="235"/>
        <v>#VALUE!</v>
      </c>
      <c r="T53" s="50" t="e">
        <f t="shared" si="235"/>
        <v>#VALUE!</v>
      </c>
      <c r="U53" s="50" t="e">
        <f t="shared" si="235"/>
        <v>#VALUE!</v>
      </c>
      <c r="V53" s="50" t="e">
        <f t="shared" si="235"/>
        <v>#VALUE!</v>
      </c>
      <c r="W53" s="50" t="e">
        <f t="shared" si="235"/>
        <v>#VALUE!</v>
      </c>
      <c r="X53" s="50" t="e">
        <f t="shared" si="235"/>
        <v>#VALUE!</v>
      </c>
      <c r="Y53" s="50" t="e">
        <f t="shared" si="235"/>
        <v>#VALUE!</v>
      </c>
      <c r="Z53" s="50" t="e">
        <f t="shared" si="235"/>
        <v>#VALUE!</v>
      </c>
      <c r="AA53" s="50" t="e">
        <f t="shared" si="235"/>
        <v>#VALUE!</v>
      </c>
      <c r="AB53" s="50" t="e">
        <f t="shared" si="235"/>
        <v>#VALUE!</v>
      </c>
      <c r="AC53" s="50" t="e">
        <f t="shared" si="235"/>
        <v>#VALUE!</v>
      </c>
      <c r="AD53" s="50" t="e">
        <f t="shared" ref="AD53:BI53" si="236">$B$57*AD38</f>
        <v>#VALUE!</v>
      </c>
      <c r="AE53" s="50" t="e">
        <f t="shared" si="236"/>
        <v>#VALUE!</v>
      </c>
      <c r="AF53" s="50" t="e">
        <f t="shared" si="236"/>
        <v>#VALUE!</v>
      </c>
      <c r="AG53" s="50" t="e">
        <f t="shared" si="236"/>
        <v>#VALUE!</v>
      </c>
      <c r="AH53" s="50" t="e">
        <f t="shared" si="236"/>
        <v>#VALUE!</v>
      </c>
      <c r="AI53" s="50" t="e">
        <f t="shared" si="236"/>
        <v>#VALUE!</v>
      </c>
      <c r="AJ53" s="50" t="e">
        <f t="shared" si="236"/>
        <v>#VALUE!</v>
      </c>
      <c r="AK53" s="50" t="e">
        <f t="shared" si="236"/>
        <v>#VALUE!</v>
      </c>
      <c r="AL53" s="50" t="e">
        <f t="shared" si="236"/>
        <v>#VALUE!</v>
      </c>
      <c r="AM53" s="50" t="e">
        <f t="shared" si="236"/>
        <v>#VALUE!</v>
      </c>
      <c r="AN53" s="50" t="e">
        <f t="shared" si="236"/>
        <v>#VALUE!</v>
      </c>
      <c r="AO53" s="50" t="e">
        <f t="shared" si="236"/>
        <v>#VALUE!</v>
      </c>
      <c r="AP53" s="50" t="e">
        <f t="shared" si="236"/>
        <v>#VALUE!</v>
      </c>
      <c r="AQ53" s="50" t="e">
        <f t="shared" si="236"/>
        <v>#VALUE!</v>
      </c>
      <c r="AR53" s="50" t="e">
        <f t="shared" si="236"/>
        <v>#VALUE!</v>
      </c>
      <c r="AS53" s="50" t="e">
        <f t="shared" si="236"/>
        <v>#VALUE!</v>
      </c>
      <c r="AT53" s="50" t="e">
        <f t="shared" si="236"/>
        <v>#VALUE!</v>
      </c>
      <c r="AU53" s="50" t="e">
        <f t="shared" si="236"/>
        <v>#VALUE!</v>
      </c>
      <c r="AV53" s="50" t="e">
        <f t="shared" si="236"/>
        <v>#VALUE!</v>
      </c>
      <c r="AW53" s="50" t="e">
        <f t="shared" si="236"/>
        <v>#VALUE!</v>
      </c>
      <c r="AX53" s="50" t="e">
        <f t="shared" si="236"/>
        <v>#VALUE!</v>
      </c>
      <c r="AY53" s="50" t="e">
        <f t="shared" si="236"/>
        <v>#VALUE!</v>
      </c>
      <c r="AZ53" s="50" t="e">
        <f t="shared" si="236"/>
        <v>#VALUE!</v>
      </c>
      <c r="BA53" s="50" t="e">
        <f t="shared" si="236"/>
        <v>#VALUE!</v>
      </c>
      <c r="BB53" s="50" t="e">
        <f t="shared" si="236"/>
        <v>#VALUE!</v>
      </c>
      <c r="BC53" s="50" t="e">
        <f t="shared" si="236"/>
        <v>#VALUE!</v>
      </c>
      <c r="BD53" s="50" t="e">
        <f t="shared" si="236"/>
        <v>#VALUE!</v>
      </c>
      <c r="BE53" s="50" t="e">
        <f t="shared" si="236"/>
        <v>#VALUE!</v>
      </c>
      <c r="BF53" s="50" t="e">
        <f t="shared" si="236"/>
        <v>#VALUE!</v>
      </c>
      <c r="BG53" s="50" t="e">
        <f t="shared" si="236"/>
        <v>#VALUE!</v>
      </c>
      <c r="BH53" s="50" t="e">
        <f t="shared" si="236"/>
        <v>#VALUE!</v>
      </c>
      <c r="BI53" s="50" t="e">
        <f t="shared" si="236"/>
        <v>#VALUE!</v>
      </c>
    </row>
    <row r="54" spans="1:61" ht="15" x14ac:dyDescent="0.25">
      <c r="A54" s="16" t="s">
        <v>75</v>
      </c>
      <c r="B54" s="34" t="e">
        <f>B45-B53</f>
        <v>#VALUE!</v>
      </c>
      <c r="C54" s="34" t="e">
        <f t="shared" ref="C54:BI54" si="237">C45-C53</f>
        <v>#VALUE!</v>
      </c>
      <c r="D54" s="34" t="e">
        <f t="shared" si="237"/>
        <v>#VALUE!</v>
      </c>
      <c r="E54" s="34" t="e">
        <f t="shared" si="237"/>
        <v>#VALUE!</v>
      </c>
      <c r="F54" s="34" t="e">
        <f t="shared" si="237"/>
        <v>#VALUE!</v>
      </c>
      <c r="G54" s="34" t="e">
        <f t="shared" si="237"/>
        <v>#VALUE!</v>
      </c>
      <c r="H54" s="34" t="e">
        <f t="shared" si="237"/>
        <v>#VALUE!</v>
      </c>
      <c r="I54" s="34" t="e">
        <f t="shared" si="237"/>
        <v>#VALUE!</v>
      </c>
      <c r="J54" s="34" t="e">
        <f t="shared" si="237"/>
        <v>#VALUE!</v>
      </c>
      <c r="K54" s="34" t="e">
        <f t="shared" si="237"/>
        <v>#VALUE!</v>
      </c>
      <c r="L54" s="34" t="e">
        <f t="shared" si="237"/>
        <v>#VALUE!</v>
      </c>
      <c r="M54" s="34" t="e">
        <f t="shared" si="237"/>
        <v>#VALUE!</v>
      </c>
      <c r="N54" s="34" t="e">
        <f t="shared" si="237"/>
        <v>#VALUE!</v>
      </c>
      <c r="O54" s="34" t="e">
        <f t="shared" si="237"/>
        <v>#VALUE!</v>
      </c>
      <c r="P54" s="34" t="e">
        <f t="shared" si="237"/>
        <v>#VALUE!</v>
      </c>
      <c r="Q54" s="34" t="e">
        <f t="shared" si="237"/>
        <v>#VALUE!</v>
      </c>
      <c r="R54" s="34" t="e">
        <f t="shared" si="237"/>
        <v>#VALUE!</v>
      </c>
      <c r="S54" s="34" t="e">
        <f t="shared" si="237"/>
        <v>#VALUE!</v>
      </c>
      <c r="T54" s="34" t="e">
        <f t="shared" si="237"/>
        <v>#VALUE!</v>
      </c>
      <c r="U54" s="34" t="e">
        <f t="shared" si="237"/>
        <v>#VALUE!</v>
      </c>
      <c r="V54" s="34" t="e">
        <f t="shared" si="237"/>
        <v>#VALUE!</v>
      </c>
      <c r="W54" s="34" t="e">
        <f t="shared" si="237"/>
        <v>#VALUE!</v>
      </c>
      <c r="X54" s="34" t="e">
        <f t="shared" si="237"/>
        <v>#VALUE!</v>
      </c>
      <c r="Y54" s="34" t="e">
        <f t="shared" si="237"/>
        <v>#VALUE!</v>
      </c>
      <c r="Z54" s="34" t="e">
        <f t="shared" si="237"/>
        <v>#VALUE!</v>
      </c>
      <c r="AA54" s="34" t="e">
        <f t="shared" si="237"/>
        <v>#VALUE!</v>
      </c>
      <c r="AB54" s="34" t="e">
        <f t="shared" si="237"/>
        <v>#VALUE!</v>
      </c>
      <c r="AC54" s="34" t="e">
        <f t="shared" si="237"/>
        <v>#VALUE!</v>
      </c>
      <c r="AD54" s="34" t="e">
        <f t="shared" si="237"/>
        <v>#VALUE!</v>
      </c>
      <c r="AE54" s="34" t="e">
        <f t="shared" si="237"/>
        <v>#VALUE!</v>
      </c>
      <c r="AF54" s="34" t="e">
        <f t="shared" si="237"/>
        <v>#VALUE!</v>
      </c>
      <c r="AG54" s="34" t="e">
        <f t="shared" si="237"/>
        <v>#VALUE!</v>
      </c>
      <c r="AH54" s="34" t="e">
        <f t="shared" si="237"/>
        <v>#VALUE!</v>
      </c>
      <c r="AI54" s="34" t="e">
        <f t="shared" si="237"/>
        <v>#VALUE!</v>
      </c>
      <c r="AJ54" s="34" t="e">
        <f t="shared" si="237"/>
        <v>#VALUE!</v>
      </c>
      <c r="AK54" s="34" t="e">
        <f t="shared" si="237"/>
        <v>#VALUE!</v>
      </c>
      <c r="AL54" s="34" t="e">
        <f t="shared" si="237"/>
        <v>#VALUE!</v>
      </c>
      <c r="AM54" s="34" t="e">
        <f t="shared" si="237"/>
        <v>#VALUE!</v>
      </c>
      <c r="AN54" s="34" t="e">
        <f t="shared" si="237"/>
        <v>#VALUE!</v>
      </c>
      <c r="AO54" s="34" t="e">
        <f t="shared" si="237"/>
        <v>#VALUE!</v>
      </c>
      <c r="AP54" s="34" t="e">
        <f t="shared" si="237"/>
        <v>#VALUE!</v>
      </c>
      <c r="AQ54" s="34" t="e">
        <f t="shared" si="237"/>
        <v>#VALUE!</v>
      </c>
      <c r="AR54" s="34" t="e">
        <f t="shared" si="237"/>
        <v>#VALUE!</v>
      </c>
      <c r="AS54" s="34" t="e">
        <f t="shared" si="237"/>
        <v>#VALUE!</v>
      </c>
      <c r="AT54" s="34" t="e">
        <f t="shared" si="237"/>
        <v>#VALUE!</v>
      </c>
      <c r="AU54" s="34" t="e">
        <f t="shared" si="237"/>
        <v>#VALUE!</v>
      </c>
      <c r="AV54" s="34" t="e">
        <f t="shared" si="237"/>
        <v>#VALUE!</v>
      </c>
      <c r="AW54" s="34" t="e">
        <f t="shared" si="237"/>
        <v>#VALUE!</v>
      </c>
      <c r="AX54" s="34" t="e">
        <f t="shared" si="237"/>
        <v>#VALUE!</v>
      </c>
      <c r="AY54" s="34" t="e">
        <f t="shared" si="237"/>
        <v>#VALUE!</v>
      </c>
      <c r="AZ54" s="34" t="e">
        <f t="shared" si="237"/>
        <v>#VALUE!</v>
      </c>
      <c r="BA54" s="34" t="e">
        <f t="shared" si="237"/>
        <v>#VALUE!</v>
      </c>
      <c r="BB54" s="34" t="e">
        <f t="shared" si="237"/>
        <v>#VALUE!</v>
      </c>
      <c r="BC54" s="34" t="e">
        <f t="shared" si="237"/>
        <v>#VALUE!</v>
      </c>
      <c r="BD54" s="34" t="e">
        <f t="shared" si="237"/>
        <v>#VALUE!</v>
      </c>
      <c r="BE54" s="34" t="e">
        <f t="shared" si="237"/>
        <v>#VALUE!</v>
      </c>
      <c r="BF54" s="34" t="e">
        <f t="shared" si="237"/>
        <v>#VALUE!</v>
      </c>
      <c r="BG54" s="34" t="e">
        <f t="shared" si="237"/>
        <v>#VALUE!</v>
      </c>
      <c r="BH54" s="34" t="e">
        <f t="shared" si="237"/>
        <v>#VALUE!</v>
      </c>
      <c r="BI54" s="34" t="e">
        <f t="shared" si="237"/>
        <v>#VALUE!</v>
      </c>
    </row>
    <row r="55" spans="1:61" ht="15" x14ac:dyDescent="0.25">
      <c r="A55" s="11" t="s">
        <v>55</v>
      </c>
      <c r="B55" s="46" t="e">
        <f>MAX(B54:BI54)</f>
        <v>#VALUE!</v>
      </c>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7"/>
    </row>
    <row r="57" spans="1:61" x14ac:dyDescent="0.3">
      <c r="A57" s="11" t="s">
        <v>76</v>
      </c>
      <c r="B57" s="64" t="e">
        <f>Berechnung_Retention!P18*60/1000</f>
        <v>#VALUE!</v>
      </c>
      <c r="C57" s="13" t="s">
        <v>40</v>
      </c>
      <c r="D57" s="3"/>
      <c r="E57" s="3"/>
      <c r="F57" s="3"/>
      <c r="H57" s="2"/>
      <c r="N57" s="2"/>
    </row>
    <row r="58" spans="1:61" ht="15" x14ac:dyDescent="0.25">
      <c r="B58" s="3"/>
      <c r="C58" s="3"/>
      <c r="D58" s="3"/>
      <c r="E58" s="3"/>
      <c r="F58" s="3"/>
      <c r="G58" s="3"/>
      <c r="H58" s="3"/>
    </row>
    <row r="59" spans="1:61" ht="15" x14ac:dyDescent="0.25">
      <c r="B59" s="3"/>
      <c r="C59" s="3"/>
      <c r="D59" s="3"/>
      <c r="E59" s="3"/>
      <c r="F59" s="3"/>
      <c r="G59" s="3"/>
      <c r="H59" s="3"/>
    </row>
    <row r="60" spans="1:61" ht="15" x14ac:dyDescent="0.25">
      <c r="B60" s="3"/>
      <c r="C60" s="3"/>
      <c r="D60" s="3"/>
      <c r="E60" s="3"/>
      <c r="F60" s="3"/>
      <c r="G60" s="3"/>
      <c r="H60" s="3"/>
    </row>
    <row r="61" spans="1:61" ht="15" x14ac:dyDescent="0.25">
      <c r="B61" s="3"/>
      <c r="C61" s="3"/>
      <c r="D61" s="3"/>
      <c r="E61" s="3"/>
      <c r="F61" s="3"/>
      <c r="G61" s="3"/>
      <c r="H61" s="3"/>
    </row>
    <row r="62" spans="1:61" ht="15" x14ac:dyDescent="0.25">
      <c r="B62" s="3"/>
      <c r="C62" s="3"/>
      <c r="D62" s="3"/>
      <c r="E62" s="3"/>
      <c r="F62" s="3"/>
      <c r="G62" s="3"/>
      <c r="H62" s="3"/>
    </row>
    <row r="63" spans="1:61" ht="15" x14ac:dyDescent="0.25">
      <c r="B63" s="3"/>
      <c r="C63" s="3"/>
      <c r="D63" s="3"/>
      <c r="E63" s="3"/>
      <c r="F63" s="3"/>
      <c r="G63" s="3"/>
      <c r="H63" s="3"/>
    </row>
    <row r="64" spans="1:61" ht="15" x14ac:dyDescent="0.25">
      <c r="B64" s="3"/>
      <c r="C64" s="3"/>
      <c r="D64" s="3"/>
      <c r="E64" s="3"/>
      <c r="F64" s="3"/>
      <c r="G64" s="3"/>
      <c r="H64" s="3"/>
    </row>
    <row r="68" spans="2:8" ht="15" x14ac:dyDescent="0.25">
      <c r="B68" s="2"/>
      <c r="C68" s="2"/>
      <c r="D68" s="2"/>
      <c r="E68" s="2"/>
      <c r="F68" s="2"/>
      <c r="G68" s="2"/>
      <c r="H68" s="2"/>
    </row>
    <row r="69" spans="2:8" ht="15" x14ac:dyDescent="0.25">
      <c r="B69" s="2"/>
      <c r="C69" s="2"/>
      <c r="D69" s="2"/>
      <c r="E69" s="2"/>
      <c r="F69" s="2"/>
      <c r="G69" s="2"/>
      <c r="H69" s="2"/>
    </row>
    <row r="70" spans="2:8" ht="15" x14ac:dyDescent="0.25">
      <c r="B70" s="2"/>
      <c r="C70" s="2"/>
      <c r="D70" s="2"/>
      <c r="E70" s="2"/>
      <c r="F70" s="2"/>
      <c r="G70" s="2"/>
      <c r="H70" s="2"/>
    </row>
    <row r="71" spans="2:8" ht="15" x14ac:dyDescent="0.25">
      <c r="B71" s="2"/>
      <c r="C71" s="2"/>
      <c r="D71" s="2"/>
      <c r="E71" s="2"/>
      <c r="F71" s="2"/>
      <c r="G71" s="2"/>
      <c r="H71" s="2"/>
    </row>
    <row r="72" spans="2:8" ht="15" x14ac:dyDescent="0.25">
      <c r="B72" s="2"/>
      <c r="C72" s="2"/>
      <c r="D72" s="2"/>
      <c r="E72" s="2"/>
      <c r="F72" s="2"/>
      <c r="G72" s="2"/>
      <c r="H72" s="2"/>
    </row>
    <row r="73" spans="2:8" ht="15" x14ac:dyDescent="0.25">
      <c r="B73" s="2"/>
      <c r="C73" s="2"/>
      <c r="D73" s="2"/>
      <c r="E73" s="2"/>
      <c r="F73" s="2"/>
      <c r="G73" s="2"/>
      <c r="H73" s="2"/>
    </row>
    <row r="74" spans="2:8" ht="15" x14ac:dyDescent="0.25">
      <c r="B74" s="2"/>
      <c r="C74" s="2"/>
      <c r="D74" s="2"/>
      <c r="E74" s="2"/>
      <c r="F74" s="2"/>
      <c r="G74" s="2"/>
      <c r="H74" s="2"/>
    </row>
    <row r="75" spans="2:8" ht="15" x14ac:dyDescent="0.25">
      <c r="B75" s="2"/>
    </row>
    <row r="76" spans="2:8" ht="15" x14ac:dyDescent="0.25">
      <c r="B76" s="2"/>
    </row>
    <row r="77" spans="2:8" ht="15" x14ac:dyDescent="0.25">
      <c r="B77" s="2"/>
    </row>
    <row r="78" spans="2:8" ht="15" x14ac:dyDescent="0.25">
      <c r="B78" s="2"/>
    </row>
    <row r="79" spans="2:8" ht="15" x14ac:dyDescent="0.25">
      <c r="B79" s="2"/>
    </row>
  </sheetData>
  <sheetProtection password="CC0D" sheet="1" objects="1" scenarios="1" selectLockedCells="1" selectUnlockedCells="1"/>
  <autoFilter ref="A39:O55">
    <filterColumn colId="0">
      <filters>
        <filter val="Differenz zwischen Regenkurve Aargau Z5 u. Abfluss Wiesland"/>
        <filter val="Gleichmässiger Abfluss (Q Wiesland)"/>
        <filter val="Max Stauvolumen zwischen Drosselung und Regenkurve"/>
        <filter val="SN 640 350 T = 0.5"/>
        <filter val="SN 640 350 T = 1"/>
        <filter val="SN 640 350 T = 10"/>
        <filter val="SN 640 350 T = 2"/>
        <filter val="SN 640 350 T = 20"/>
        <filter val="SN 640 350 T = 5"/>
      </filters>
    </filterColumn>
  </autoFilter>
  <customSheetViews>
    <customSheetView guid="{C2AE7621-16FE-461B-A718-7353AC843B13}" scale="85" showPageBreaks="1" printArea="1" filter="1" showAutoFilter="1" state="hidden" view="pageBreakPreview" topLeftCell="A27">
      <selection activeCell="A39" sqref="A39"/>
      <pageMargins left="0.7" right="0.7" top="0.78740157499999996" bottom="0.78740157499999996" header="0.3" footer="0.3"/>
      <pageSetup paperSize="8" scale="47" orientation="portrait" verticalDpi="0" r:id="rId1"/>
      <autoFilter ref="A39:O55">
        <filterColumn colId="0">
          <filters>
            <filter val="Differenz zwischen Regenkurve Aargau Z5 u. Abfluss Wiesland"/>
            <filter val="Gleichmässiger Abfluss (Q Wiesland)"/>
            <filter val="Max Stauvolumen zwischen Drosselung und Regenkurve"/>
            <filter val="SN 640 350 T = 0.5"/>
            <filter val="SN 640 350 T = 1"/>
            <filter val="SN 640 350 T = 10"/>
            <filter val="SN 640 350 T = 2"/>
            <filter val="SN 640 350 T = 20"/>
            <filter val="SN 640 350 T = 5"/>
          </filters>
        </filterColumn>
      </autoFilter>
    </customSheetView>
  </customSheetViews>
  <pageMargins left="0.7" right="0.7" top="0.78740157499999996" bottom="0.78740157499999996" header="0.3" footer="0.3"/>
  <pageSetup paperSize="8" scale="47"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10" sqref="A1:A1048576"/>
    </sheetView>
  </sheetViews>
  <sheetFormatPr baseColWidth="10" defaultRowHeight="14.4" x14ac:dyDescent="0.3"/>
  <cols>
    <col min="1" max="1" width="106.44140625" customWidth="1"/>
  </cols>
  <sheetData/>
  <sheetProtection password="CC0D" sheet="1" objects="1" scenarios="1" selectLockedCells="1" selectUnlockedCells="1"/>
  <pageMargins left="0.7" right="0.7" top="0.75" bottom="0.75" header="0.3" footer="0.3"/>
  <pageSetup paperSize="9" scale="8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topLeftCell="A4" zoomScale="180" zoomScaleNormal="180" workbookViewId="0">
      <selection activeCell="C47" sqref="C47"/>
    </sheetView>
  </sheetViews>
  <sheetFormatPr baseColWidth="10" defaultColWidth="11.44140625" defaultRowHeight="13.8" x14ac:dyDescent="0.25"/>
  <cols>
    <col min="1" max="3" width="11.44140625" style="71"/>
    <col min="4" max="4" width="11.33203125" style="71" customWidth="1"/>
    <col min="5" max="6" width="11.44140625" style="71"/>
    <col min="7" max="7" width="14" style="71" customWidth="1"/>
    <col min="8" max="16384" width="11.44140625" style="71"/>
  </cols>
  <sheetData>
    <row r="1" spans="1:13" ht="21" x14ac:dyDescent="0.4">
      <c r="A1" s="72" t="s">
        <v>103</v>
      </c>
    </row>
    <row r="3" spans="1:13" ht="15" x14ac:dyDescent="0.25">
      <c r="A3" s="70" t="s">
        <v>104</v>
      </c>
      <c r="E3" s="70" t="s">
        <v>106</v>
      </c>
    </row>
    <row r="4" spans="1:13" ht="15" x14ac:dyDescent="0.25">
      <c r="A4" s="71" t="s">
        <v>108</v>
      </c>
      <c r="E4" s="70" t="s">
        <v>116</v>
      </c>
    </row>
    <row r="5" spans="1:13" ht="15" x14ac:dyDescent="0.25">
      <c r="E5" s="71" t="s">
        <v>107</v>
      </c>
    </row>
    <row r="9" spans="1:13" ht="15" x14ac:dyDescent="0.25">
      <c r="M9"/>
    </row>
    <row r="19" spans="1:11" ht="15" x14ac:dyDescent="0.25">
      <c r="A19" s="70" t="s">
        <v>109</v>
      </c>
      <c r="E19" s="70" t="s">
        <v>117</v>
      </c>
    </row>
    <row r="20" spans="1:11" ht="15" x14ac:dyDescent="0.25">
      <c r="A20" s="71" t="s">
        <v>120</v>
      </c>
      <c r="E20" s="71" t="s">
        <v>118</v>
      </c>
    </row>
    <row r="21" spans="1:11" ht="15" x14ac:dyDescent="0.25">
      <c r="E21" s="71" t="s">
        <v>119</v>
      </c>
    </row>
    <row r="28" spans="1:11" ht="15" x14ac:dyDescent="0.25">
      <c r="K28"/>
    </row>
    <row r="35" spans="1:7" x14ac:dyDescent="0.25">
      <c r="A35" s="71" t="s">
        <v>122</v>
      </c>
    </row>
    <row r="38" spans="1:7" x14ac:dyDescent="0.25">
      <c r="A38" s="71" t="s">
        <v>114</v>
      </c>
    </row>
    <row r="39" spans="1:7" x14ac:dyDescent="0.25">
      <c r="G39" s="71" t="s">
        <v>112</v>
      </c>
    </row>
    <row r="40" spans="1:7" x14ac:dyDescent="0.25">
      <c r="A40" s="71" t="s">
        <v>113</v>
      </c>
      <c r="G40" s="71" t="s">
        <v>113</v>
      </c>
    </row>
    <row r="41" spans="1:7" x14ac:dyDescent="0.25">
      <c r="A41" s="71" t="s">
        <v>111</v>
      </c>
      <c r="G41" s="71" t="s">
        <v>105</v>
      </c>
    </row>
    <row r="42" spans="1:7" x14ac:dyDescent="0.25">
      <c r="A42" s="73" t="s">
        <v>115</v>
      </c>
      <c r="G42" s="71" t="s">
        <v>123</v>
      </c>
    </row>
    <row r="43" spans="1:7" x14ac:dyDescent="0.25">
      <c r="A43" s="71" t="s">
        <v>110</v>
      </c>
      <c r="G43" s="71" t="s">
        <v>121</v>
      </c>
    </row>
    <row r="52" ht="69.75" customHeight="1" x14ac:dyDescent="0.25"/>
  </sheetData>
  <sheetProtection password="CC0D" sheet="1" objects="1" scenarios="1" selectLockedCells="1" selectUnlockedCells="1"/>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Berechnung_Retention</vt:lpstr>
      <vt:lpstr>Werte Berechnung Retention</vt:lpstr>
      <vt:lpstr>Grundlagen</vt:lpstr>
      <vt:lpstr>Technische Beispiele</vt:lpstr>
      <vt:lpstr>'Werte Berechnung Retention'!Druckbereich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dc:creator>
  <cp:lastModifiedBy>master</cp:lastModifiedBy>
  <cp:lastPrinted>2017-01-16T13:57:31Z</cp:lastPrinted>
  <dcterms:created xsi:type="dcterms:W3CDTF">2016-04-20T20:40:49Z</dcterms:created>
  <dcterms:modified xsi:type="dcterms:W3CDTF">2017-10-18T14:15:26Z</dcterms:modified>
</cp:coreProperties>
</file>